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200" windowHeight="7350"/>
  </bookViews>
  <sheets>
    <sheet name="общее" sheetId="1" r:id="rId1"/>
  </sheets>
  <definedNames>
    <definedName name="_xlnm._FilterDatabase" localSheetId="0" hidden="1">общее!$A$8:$J$285</definedName>
    <definedName name="Z_005F280F_9A8C_4D61_A462_F589D592D290_.wvu.FilterData" localSheetId="0" hidden="1">общее!$A$8:$J$338</definedName>
    <definedName name="Z_027FE178_1172_4222_AF5C_23D964AF488A_.wvu.FilterData" localSheetId="0" hidden="1">общее!$A$6:$J$8</definedName>
    <definedName name="Z_0344C8F5_CCC1_4DA4_B4BA_9CEFB0A093F3_.wvu.FilterData" localSheetId="0" hidden="1">общее!$A$8:$J$338</definedName>
    <definedName name="Z_0419BBFE_F3CF_4518_8D24_82FEA8B7DDD6_.wvu.FilterData" localSheetId="0" hidden="1">общее!$A$8:$J$516</definedName>
    <definedName name="Z_06B1F1AE_9936_453D_B440_89FD7733A859_.wvu.FilterData" localSheetId="0" hidden="1">общее!$A$8:$J$414</definedName>
    <definedName name="Z_06B33669_D909_4CD8_806F_33C009B9DF0A_.wvu.FilterData" localSheetId="0" hidden="1">общее!$A$8:$J$338</definedName>
    <definedName name="Z_08491732_1BAF_49CD_8956_D3E9C2B85304_.wvu.FilterData" localSheetId="0" hidden="1">общее!$A$8:$J$338</definedName>
    <definedName name="Z_09F33DD9_E062_4B93_90BA_A6E8876D9E62_.wvu.FilterData" localSheetId="0" hidden="1">общее!$A$6:$J$8</definedName>
    <definedName name="Z_0B19D168_858D_4BCF_80E5_C18DD77CBE9F_.wvu.FilterData" localSheetId="0" hidden="1">общее!$A$6:$J$8</definedName>
    <definedName name="Z_0BDDB9FE_C07B_4E21_8514_F3881AE78CD6_.wvu.FilterData" localSheetId="0" hidden="1">общее!$A$8:$J$338</definedName>
    <definedName name="Z_0C71E80D_0254_4693_A8EC_34A4BD1A6F73_.wvu.FilterData" localSheetId="0" hidden="1">общее!$A$6:$J$8</definedName>
    <definedName name="Z_0CBA335B_0DD8_471B_913E_91954D8A7DE8_.wvu.FilterData" localSheetId="0" hidden="1">общее!$A$8:$J$338</definedName>
    <definedName name="Z_0CBA335B_0DD8_471B_913E_91954D8A7DE8_.wvu.Rows" localSheetId="0" hidden="1">общее!#REF!</definedName>
    <definedName name="Z_0EDC1FFF_2611_4DAC_98A8_22EC25025967_.wvu.FilterData" localSheetId="0" hidden="1">общее!$A$8:$J$414</definedName>
    <definedName name="Z_0F954C44_2E2C_4880_A030_4864EA711FE0_.wvu.FilterData" localSheetId="0" hidden="1">общее!$A$8:$J$516</definedName>
    <definedName name="Z_16D4F077_2EAE_4B98_A742_A1CD9A7B633C_.wvu.FilterData" localSheetId="0" hidden="1">общее!$A$8:$J$414</definedName>
    <definedName name="Z_1748D69A_4DB3_487A_8AD7_C0B3B71D3FB6_.wvu.FilterData" localSheetId="0" hidden="1">общее!$A$6:$J$8</definedName>
    <definedName name="Z_1862B7E4_4060_4370_88AF_4829C34881B7_.wvu.FilterData" localSheetId="0" hidden="1">общее!$A$8:$J$516</definedName>
    <definedName name="Z_1BA267BF_F5D4_4EB6_B077_27E074A28B2C_.wvu.FilterData" localSheetId="0" hidden="1">общее!$A$8:$J$516</definedName>
    <definedName name="Z_1BDFBE17_25BB_4BB9_B67F_4757B39B2D64_.wvu.FilterData" localSheetId="0" hidden="1">общее!$A$8:$J$338</definedName>
    <definedName name="Z_1E3BB7AF_B756_4A0C_A2BE_D723B28D252A_.wvu.FilterData" localSheetId="0" hidden="1">общее!$A$8:$J$414</definedName>
    <definedName name="Z_2021983A_3D6E_4804_9038_C33FE9EA644F_.wvu.FilterData" localSheetId="0" hidden="1">общее!$A$8:$J$414</definedName>
    <definedName name="Z_2140268D_DEA7_466F_AE25_EAEFFE2D0081_.wvu.FilterData" localSheetId="0" hidden="1">общее!$A$6:$J$8</definedName>
    <definedName name="Z_21651801_29AF_44DA_B88B_12DD75943577_.wvu.FilterData" localSheetId="0" hidden="1">общее!$A$8:$J$414</definedName>
    <definedName name="Z_221AFC77_C97B_4D44_8163_7AA758A08BF9_.wvu.FilterData" localSheetId="0" hidden="1">общее!$A$8:$J$338</definedName>
    <definedName name="Z_221AFC77_C97B_4D44_8163_7AA758A08BF9_.wvu.PrintArea" localSheetId="0" hidden="1">общее!$A$4:$J$281</definedName>
    <definedName name="Z_221AFC77_C97B_4D44_8163_7AA758A08BF9_.wvu.PrintTitles" localSheetId="0" hidden="1">общее!$8:$8</definedName>
    <definedName name="Z_23143807_1CCE_467D_8F79_FB088A4A08A4_.wvu.FilterData" localSheetId="0" hidden="1">общее!$A$8:$J$516</definedName>
    <definedName name="Z_24F3E475_1A82_464A_A2B9_6272C75DE965_.wvu.FilterData" localSheetId="0" hidden="1">общее!$A$8:$J$516</definedName>
    <definedName name="Z_2627E621_2724_4458_A97A_DA4867CC78C7_.wvu.FilterData" localSheetId="0" hidden="1">общее!$A$8:$J$338</definedName>
    <definedName name="Z_26302507_6225_4D5F_830E_9C0EA681B1F9_.wvu.FilterData" localSheetId="0" hidden="1">общее!$A$8:$J$516</definedName>
    <definedName name="Z_2A0A5548_2EEF_4469_A03C_FA481083CE33_.wvu.FilterData" localSheetId="0" hidden="1">общее!$A$8:$J$414</definedName>
    <definedName name="Z_2A4C0749_63B0_4D48_8771_593E99B870CF_.wvu.FilterData" localSheetId="0" hidden="1">общее!$A$8:$J$414</definedName>
    <definedName name="Z_2A873CA7_D1CE_4F50_B607_3E6930776CDE_.wvu.FilterData" localSheetId="0" hidden="1">общее!$A$8:$J$338</definedName>
    <definedName name="Z_2C16AC7D_1F05_4386_90A0_A2DA4836DDE1_.wvu.FilterData" localSheetId="0" hidden="1">общее!$A$8:$J$338</definedName>
    <definedName name="Z_2C18B72E_FABC_405E_9989_871873679CB9_.wvu.FilterData" localSheetId="0" hidden="1">общее!$A$8:$J$516</definedName>
    <definedName name="Z_2D1F835C_2905_49B2_ACB0_6B5DC39ABF77_.wvu.FilterData" localSheetId="0" hidden="1">общее!$A$8:$J$516</definedName>
    <definedName name="Z_2DB33E37_AA0F_4B4B_B7C9_A11BA792B878_.wvu.FilterData" localSheetId="0" hidden="1">общее!$A$6:$J$8</definedName>
    <definedName name="Z_2E403391_C63C_4844_B760_535E5B14235D_.wvu.FilterData" localSheetId="0" hidden="1">общее!$A$8:$J$338</definedName>
    <definedName name="Z_2EA6131F_89B6_4FC5_8D3F_2E657C0F9729_.wvu.FilterData" localSheetId="0" hidden="1">общее!$A$8:$J$338</definedName>
    <definedName name="Z_3054E370_5DE4_4F07_9AEC_8E1396CAD8D6_.wvu.FilterData" localSheetId="0" hidden="1">общее!$A$8:$J$414</definedName>
    <definedName name="Z_30EAEA67_9656_4874_9B82_0AE83C45AB26_.wvu.FilterData" localSheetId="0" hidden="1">общее!$A$8:$J$414</definedName>
    <definedName name="Z_315252D1_A60E_4446_B1ED_7AE241C4BB71_.wvu.FilterData" localSheetId="0" hidden="1">общее!$A$8:$J$414</definedName>
    <definedName name="Z_322077ED_714E_4730_9121_953073B8C43F_.wvu.FilterData" localSheetId="0" hidden="1">общее!$A$8:$J$285</definedName>
    <definedName name="Z_33313D92_ACCC_472C_8066_C92558BED64F_.wvu.FilterData" localSheetId="0" hidden="1">общее!$A$8:$J$414</definedName>
    <definedName name="Z_33FCD28F_F474_4478_8228_BBE6129DFD33_.wvu.FilterData" localSheetId="0" hidden="1">общее!$A$8:$J$414</definedName>
    <definedName name="Z_36602011_6F80_4B7E_9881_FDB5866DE132_.wvu.FilterData" localSheetId="0" hidden="1">общее!$A$8:$J$516</definedName>
    <definedName name="Z_3824CD03_2F75_4531_8348_997F8B6518CE_.wvu.FilterData" localSheetId="0" hidden="1">общее!$A$8:$J$338</definedName>
    <definedName name="Z_3882A51E_FD17_4C10_93F2_F0C9B03BC730_.wvu.FilterData" localSheetId="0" hidden="1">общее!$A$8:$J$338</definedName>
    <definedName name="Z_39B9868C_0524_4A04_B50B_22CB89138F2C_.wvu.FilterData" localSheetId="0" hidden="1">общее!$A$8:$J$338</definedName>
    <definedName name="Z_3A3D386F_BF44_4CDF_AECB_A030233CF3BE_.wvu.FilterData" localSheetId="0" hidden="1">общее!$A$8:$J$516</definedName>
    <definedName name="Z_3B5575E9_696E_4E1F_8BBE_8483CF318052_.wvu.FilterData" localSheetId="0" hidden="1">общее!$A$6:$J$8</definedName>
    <definedName name="Z_3B5575E9_696E_4E1F_8BBE_8483CF318052_.wvu.PrintArea" localSheetId="0" hidden="1">общее!$A$4:$J$281</definedName>
    <definedName name="Z_3B5575E9_696E_4E1F_8BBE_8483CF318052_.wvu.PrintTitles" localSheetId="0" hidden="1">общее!$8:$8</definedName>
    <definedName name="Z_3D35485E_49A3_4FF5_BF80_94CBDE59B6CB_.wvu.FilterData" localSheetId="0" hidden="1">общее!$A$8:$J$285</definedName>
    <definedName name="Z_3F669C1C_24D3_4C3D_9A16_6C0219D100D3_.wvu.FilterData" localSheetId="0" hidden="1">общее!$A$6:$J$8</definedName>
    <definedName name="Z_4091B7C4_DE26_4226_8BEE_38F5EA1E4C60_.wvu.FilterData" localSheetId="0" hidden="1">общее!$A$8:$J$285</definedName>
    <definedName name="Z_40F66B3F_B1A0_4660_B7EC_2C8F1BD66B34_.wvu.FilterData" localSheetId="0" hidden="1">общее!$A$8:$J$414</definedName>
    <definedName name="Z_429899D9_5B00_46A4_8670_9042E5D6B3B9_.wvu.FilterData" localSheetId="0" hidden="1">общее!$A$8:$J$414</definedName>
    <definedName name="Z_429AA136_6142_4A99_977B_8067300179C4_.wvu.FilterData" localSheetId="0" hidden="1">общее!$A$8:$J$414</definedName>
    <definedName name="Z_43369FCC_2CCA_4665_99C7_275B440DE937_.wvu.FilterData" localSheetId="0" hidden="1">общее!$A$8:$J$338</definedName>
    <definedName name="Z_452C56A1_7A56_4ADE_A5CF_E260228787E3_.wvu.FilterData" localSheetId="0" hidden="1">общее!$A$6:$J$8</definedName>
    <definedName name="Z_452C56A1_7A56_4ADE_A5CF_E260228787E3_.wvu.PrintArea" localSheetId="0" hidden="1">общее!$A$4:$J$281</definedName>
    <definedName name="Z_452C56A1_7A56_4ADE_A5CF_E260228787E3_.wvu.PrintTitles" localSheetId="0" hidden="1">общее!$8:$8</definedName>
    <definedName name="Z_471079C8_6E8B_4088_8968_A7D0C5B8653D_.wvu.FilterData" localSheetId="0" hidden="1">общее!$A$8:$J$516</definedName>
    <definedName name="Z_47250A82_9F08_48A3_99F5_B1354F557BF5_.wvu.FilterData" localSheetId="0" hidden="1">общее!$A$8:$J$338</definedName>
    <definedName name="Z_48783A06_63D3_427A_A6E9_9592F9D916F6_.wvu.FilterData" localSheetId="0" hidden="1">общее!$A$8:$J$338</definedName>
    <definedName name="Z_4910244A_FD97_43F8_8121_7A39DEE7F6C3_.wvu.FilterData" localSheetId="0" hidden="1">общее!$A$8:$J$338</definedName>
    <definedName name="Z_495617EB_A9DC_44E1_A455_3D0079645590_.wvu.FilterData" localSheetId="0" hidden="1">общее!$A$8:$J$414</definedName>
    <definedName name="Z_4C9A721B_C5BE_4E52_A18E_0730E1D3B8FE_.wvu.FilterData" localSheetId="0" hidden="1">общее!$A$8:$J$414</definedName>
    <definedName name="Z_4CD9C922_19B5_419E_BD84_E209894B16C0_.wvu.FilterData" localSheetId="0" hidden="1">общее!$A$8:$J$414</definedName>
    <definedName name="Z_505D733E_455F_46B4_ACCC_4F218E555D81_.wvu.FilterData" localSheetId="0" hidden="1">общее!$A$8:$J$516</definedName>
    <definedName name="Z_5152B790_6528_48A7_ACFA_991FA35A233D_.wvu.FilterData" localSheetId="0" hidden="1">общее!$A$8:$J$338</definedName>
    <definedName name="Z_527D5B17_7578_4A0E_8233_A8DD6DE458C2_.wvu.FilterData" localSheetId="0" hidden="1">общее!$A$8:$J$414</definedName>
    <definedName name="Z_53234816_0120_4392_94AB_599CEA5C30B9_.wvu.FilterData" localSheetId="0" hidden="1">общее!$A$8:$J$516</definedName>
    <definedName name="Z_5512C256_B576_4E26_8E01_289925B9D9C4_.wvu.FilterData" localSheetId="0" hidden="1">общее!$A$6:$J$8</definedName>
    <definedName name="Z_57216EB5_F285_4D3D_8804_F4C1447258E5_.wvu.FilterData" localSheetId="0" hidden="1">общее!$A$8:$J$414</definedName>
    <definedName name="Z_59F9E859_7DBE_4B96_A969_63ADA1E07BFE_.wvu.FilterData" localSheetId="0" hidden="1">общее!$A$8:$J$338</definedName>
    <definedName name="Z_5A17F74F_9F13_46B8_8433_8D22469D4185_.wvu.FilterData" localSheetId="0" hidden="1">общее!$A$8:$J$516</definedName>
    <definedName name="Z_5D9BE3B7_C618_47DB_8F0E_D1DDB1705E6B_.wvu.FilterData" localSheetId="0" hidden="1">общее!$A$6:$J$8</definedName>
    <definedName name="Z_5EEB5DC5_097B_47D6_81BA_F19E1000B57E_.wvu.FilterData" localSheetId="0" hidden="1">общее!$A$8:$J$414</definedName>
    <definedName name="Z_5EEB5DC5_097B_47D6_81BA_F19E1000B57E_.wvu.PrintArea" localSheetId="0" hidden="1">общее!$A$4:$J$281</definedName>
    <definedName name="Z_5EEB5DC5_097B_47D6_81BA_F19E1000B57E_.wvu.PrintTitles" localSheetId="0" hidden="1">общее!$8:$8</definedName>
    <definedName name="Z_60012CAC_965D_4CFC_93A4_5CCD711B12F0_.wvu.FilterData" localSheetId="0" hidden="1">общее!$A$6:$J$8</definedName>
    <definedName name="Z_6149D971_6896_4099_83EB_61159C951281_.wvu.FilterData" localSheetId="0" hidden="1">общее!$A$8:$J$414</definedName>
    <definedName name="Z_65CADE76_9E13_43BF_B11F_E308EC288263_.wvu.FilterData" localSheetId="0" hidden="1">общее!$A$8:$J$414</definedName>
    <definedName name="Z_675C859F_867B_4E3E_8283_3B2C94BFA5E5_.wvu.FilterData" localSheetId="0" hidden="1">общее!$A$8:$J$338</definedName>
    <definedName name="Z_68CBFC64_03A4_4F74_B34E_EE1DB915A668_.wvu.FilterData" localSheetId="0" hidden="1">общее!$A$8:$J$338</definedName>
    <definedName name="Z_6A002B8B_DF15_47FE_8548_D0F88EB4EB77_.wvu.FilterData" localSheetId="0" hidden="1">общее!$A$8:$J$338</definedName>
    <definedName name="Z_6AE5F3A0_C632_4594_A73E_9DFBAB3F48DD_.wvu.FilterData" localSheetId="0" hidden="1">общее!$A$8:$J$338</definedName>
    <definedName name="Z_6DB878EC_F0AA_4EE0_8DBD_0D2F2413D073_.wvu.FilterData" localSheetId="0" hidden="1">общее!$A$8:$J$414</definedName>
    <definedName name="Z_7012C998_533E_4EDC_995F_53A252D8A143_.wvu.FilterData" localSheetId="0" hidden="1">общее!$A$8:$J$338</definedName>
    <definedName name="Z_713A662A_DFDD_43FB_A56E_1E210432D89D_.wvu.FilterData" localSheetId="0" hidden="1">общее!$A$8:$J$338</definedName>
    <definedName name="Z_716F213C_8FDB_4E7E_934B_B03987478AAA_.wvu.FilterData" localSheetId="0" hidden="1">общее!$A$8:$J$338</definedName>
    <definedName name="Z_72615B4A_0666_48DC_B3A0_332799C5347B_.wvu.FilterData" localSheetId="0" hidden="1">общее!$A$6:$J$8</definedName>
    <definedName name="Z_72EDDA2C_BFF2_4D48_A13B_2B9C46213374_.wvu.FilterData" localSheetId="0" hidden="1">общее!$A$8:$J$414</definedName>
    <definedName name="Z_743F23AC_8B5C_40B6_9ADD_B2B54B0B36A7_.wvu.FilterData" localSheetId="0" hidden="1">общее!$A$8:$J$414</definedName>
    <definedName name="Z_746B9BA0_2CAB_416E_B194_EC52DB1EC742_.wvu.FilterData" localSheetId="0" hidden="1">общее!$A$8:$J$414</definedName>
    <definedName name="Z_768BA9CF_2122_41A7_8903_ECE3A54B69F8_.wvu.FilterData" localSheetId="0" hidden="1">общее!$A$8:$J$516</definedName>
    <definedName name="Z_78D70EA8_5249_4DAA_AE4A_2D8FFFD697D9_.wvu.FilterData" localSheetId="0" hidden="1">общее!$A$8:$J$414</definedName>
    <definedName name="Z_795D5ECF_BF90_4F3E_A74E_B1A55C8421F2_.wvu.FilterData" localSheetId="0" hidden="1">общее!$A$8:$J$414</definedName>
    <definedName name="Z_7A2B4F7E_E736_4CE4_ACAF_AB2E1CDC2BED_.wvu.FilterData" localSheetId="0" hidden="1">общее!$A$8:$J$338</definedName>
    <definedName name="Z_7A936B14_3168_4319_80EC_9AB0E1E51913_.wvu.FilterData" localSheetId="0" hidden="1">общее!$A$8:$J$414</definedName>
    <definedName name="Z_7C69758B_CDC9_4874_B714_8DA98D7197DD_.wvu.FilterData" localSheetId="0" hidden="1">общее!$A$8:$J$414</definedName>
    <definedName name="Z_7C74E095_428E_48E8_A71D_0600250A46E8_.wvu.FilterData" localSheetId="0" hidden="1">общее!$A$8:$J$338</definedName>
    <definedName name="Z_7E83462C_2646_43F5_BA25_2D4B100EBEB1_.wvu.FilterData" localSheetId="0" hidden="1">общее!$A$8:$J$338</definedName>
    <definedName name="Z_7EDDA008_F905_436E_A980_951BDACDA577_.wvu.FilterData" localSheetId="0" hidden="1">общее!$A$6:$J$8</definedName>
    <definedName name="Z_7F2FA179_7E75_4D04_9C08_383F9EAE36E4_.wvu.FilterData" localSheetId="0" hidden="1">общее!$A$8:$J$414</definedName>
    <definedName name="Z_7F311C52_3815_4334_BC86_EFE1D9CF838D_.wvu.FilterData" localSheetId="0" hidden="1">общее!$A$8:$J$285</definedName>
    <definedName name="Z_81AB0083_9AC8_46E5_8989_3683179BE2CD_.wvu.FilterData" localSheetId="0" hidden="1">общее!$A$8:$J$338</definedName>
    <definedName name="Z_82778C3B_E039_40FB_9D6E_6C955809D3AF_.wvu.FilterData" localSheetId="0" hidden="1">общее!$A$8:$J$414</definedName>
    <definedName name="Z_82F7123C_C030_4534_8B46_822C4EBC62EC_.wvu.FilterData" localSheetId="0" hidden="1">общее!$A$8:$J$516</definedName>
    <definedName name="Z_82F7E495_211B_4D53_B382_DE1C7FAF3376_.wvu.FilterData" localSheetId="0" hidden="1">общее!$A$8:$J$516</definedName>
    <definedName name="Z_84AB9039_6109_4932_AA14_522BD4A30F0B_.wvu.FilterData" localSheetId="0" hidden="1">общее!$A$8:$J$338</definedName>
    <definedName name="Z_85BFB728_94F1_4323_ACC8_9456F845AE11_.wvu.FilterData" localSheetId="0" hidden="1">общее!$A$8:$J$414</definedName>
    <definedName name="Z_85CA5D27_9304_4004_A8E8_6687AFFCC00A_.wvu.FilterData" localSheetId="0" hidden="1">общее!$A$8:$J$338</definedName>
    <definedName name="Z_868786DC_4C96_45F5_A272_3E03D4B934A0_.wvu.FilterData" localSheetId="0" hidden="1">общее!$A$8:$J$516</definedName>
    <definedName name="Z_8712F0EA_8AFD_45F0_99A0_31E181367C18_.wvu.FilterData" localSheetId="0" hidden="1">общее!$A$6:$J$8</definedName>
    <definedName name="Z_87307EED_7277_4B82_83B9_FD6EFB33210A_.wvu.FilterData" localSheetId="0" hidden="1">общее!$A$8:$J$414</definedName>
    <definedName name="Z_8AD8908B_5409_470D_AEE7_01A535707576_.wvu.FilterData" localSheetId="0" hidden="1">общее!$A$8:$J$338</definedName>
    <definedName name="Z_8BA1F70D_2590_40B0_8F4D_CC37D4F962D2_.wvu.FilterData" localSheetId="0" hidden="1">общее!$A$8:$J$414</definedName>
    <definedName name="Z_8DA01475_C6A0_4A19_B7EB_B1C704431492_.wvu.FilterData" localSheetId="0" hidden="1">общее!$A$8:$J$338</definedName>
    <definedName name="Z_8E60DEEE_B29D_4EEA_B25A_DB1975B13507_.wvu.FilterData" localSheetId="0" hidden="1">общее!$A$8:$J$516</definedName>
    <definedName name="Z_8F5BBF1A_FC79_4BB3_97F0_50B619130E26_.wvu.FilterData" localSheetId="0" hidden="1">общее!$A$8:$J$338</definedName>
    <definedName name="Z_8FB1E024_9866_4CAD_B900_0CCFEA27B234_.wvu.FilterData" localSheetId="0" hidden="1">общее!$A$8:$J$338</definedName>
    <definedName name="Z_8FB1E024_9866_4CAD_B900_0CCFEA27B234_.wvu.PrintArea" localSheetId="0" hidden="1">общее!$A$4:$J$281</definedName>
    <definedName name="Z_8FB1E024_9866_4CAD_B900_0CCFEA27B234_.wvu.PrintTitles" localSheetId="0" hidden="1">общее!$8:$8</definedName>
    <definedName name="Z_90104242_D578_485A_91E2_ACB42B11755F_.wvu.FilterData" localSheetId="0" hidden="1">общее!$A$8:$J$414</definedName>
    <definedName name="Z_90518B97_7307_4173_A97E_975285B914B1_.wvu.FilterData" localSheetId="0" hidden="1">общее!$A$8:$J$285</definedName>
    <definedName name="Z_925CFE27_E1C6_48F7_AA2E_4E47C240CFE1_.wvu.FilterData" localSheetId="0" hidden="1">общее!$A$8:$J$338</definedName>
    <definedName name="Z_93443DB4_16CC_4115_8132_074F13427393_.wvu.FilterData" localSheetId="0" hidden="1">общее!$A$8:$J$285</definedName>
    <definedName name="Z_93A13551_3E8E_4065_89A7_310AA9E7AE54_.wvu.FilterData" localSheetId="0" hidden="1">общее!$A$8:$J$414</definedName>
    <definedName name="Z_94F9C593_9DE2_4EC4_AFA3_39D38CF2BB33_.wvu.FilterData" localSheetId="0" hidden="1">общее!$A$8:$J$285</definedName>
    <definedName name="Z_95A7493F_2B11_406A_BB91_458FD9DC3BAE_.wvu.FilterData" localSheetId="0" hidden="1">общее!$A$8:$J$338</definedName>
    <definedName name="Z_95A7493F_2B11_406A_BB91_458FD9DC3BAE_.wvu.PrintArea" localSheetId="0" hidden="1">общее!$A$4:$J$281</definedName>
    <definedName name="Z_95A7493F_2B11_406A_BB91_458FD9DC3BAE_.wvu.PrintTitles" localSheetId="0" hidden="1">общее!$8:$8</definedName>
    <definedName name="Z_966D3932_E429_4C59_AC55_697D9EEA620A_.wvu.FilterData" localSheetId="0" hidden="1">общее!$A$8:$J$338</definedName>
    <definedName name="Z_966D3932_E429_4C59_AC55_697D9EEA620A_.wvu.PrintArea" localSheetId="0" hidden="1">общее!$A$4:$J$285</definedName>
    <definedName name="Z_966D3932_E429_4C59_AC55_697D9EEA620A_.wvu.PrintTitles" localSheetId="0" hidden="1">общее!$8:$8</definedName>
    <definedName name="Z_967F1A8A_48DD_4277_A863_3849576B72D0_.wvu.FilterData" localSheetId="0" hidden="1">общее!$A$8:$J$338</definedName>
    <definedName name="Z_998E5F34_5F22_456C_AF6B_44B849DA5E75_.wvu.FilterData" localSheetId="0" hidden="1">общее!$A$8:$J$285</definedName>
    <definedName name="Z_9BFA17BE_4413_48EA_8DFA_9D7972E1D966_.wvu.FilterData" localSheetId="0" hidden="1">общее!$A$8:$J$338</definedName>
    <definedName name="Z_9DB42EA6_6F33_4055_AFFC_2CB330A83BF6_.wvu.FilterData" localSheetId="0" hidden="1">общее!$A$8:$J$285</definedName>
    <definedName name="Z_9E613866_5B9C_47D7_AFA4_58928D3C6E62_.wvu.FilterData" localSheetId="0" hidden="1">общее!$A$8:$J$338</definedName>
    <definedName name="Z_9EB09BA5_1A06_464B_9D4E_3EF1374F6659_.wvu.FilterData" localSheetId="0" hidden="1">общее!$A$8:$J$285</definedName>
    <definedName name="Z_9FE2B88C_FF56_4DEE_8B84_1ADFBBB1D084_.wvu.FilterData" localSheetId="0" hidden="1">общее!$A$8:$J$516</definedName>
    <definedName name="Z_A274E916_0616_4798_8975_3911D43C14F5_.wvu.FilterData" localSheetId="0" hidden="1">общее!$A$8:$J$414</definedName>
    <definedName name="Z_A330E7CE_1B63_4807_AC38_5251AE03B568_.wvu.FilterData" localSheetId="0" hidden="1">общее!$A$8:$J$516</definedName>
    <definedName name="Z_A5BD67D1_5F1C_472E_9385_9177CF38402F_.wvu.FilterData" localSheetId="0" hidden="1">общее!$A$8:$J$338</definedName>
    <definedName name="Z_A600D8D5_C13F_49F2_9D2C_FC8EA32AC551_.wvu.FilterData" localSheetId="0" hidden="1">общее!$A$8:$J$516</definedName>
    <definedName name="Z_A600D8D5_C13F_49F2_9D2C_FC8EA32AC551_.wvu.PrintTitles" localSheetId="0" hidden="1">общее!$8:$8</definedName>
    <definedName name="Z_A75085A3_4AC1_49B5_8DC1_19942A878723_.wvu.FilterData" localSheetId="0" hidden="1">общее!$A$8:$J$414</definedName>
    <definedName name="Z_A9CB6613_36BA_46BF_9FA8_AEAB37393612_.wvu.FilterData" localSheetId="0" hidden="1">общее!$A$8:$J$338</definedName>
    <definedName name="Z_AA3BE0DE_1363_4DDA_934E_FD9CAE988533_.wvu.FilterData" localSheetId="0" hidden="1">общее!$A$8:$J$414</definedName>
    <definedName name="Z_AA5DB17E_D4B9_49C8_96A5_D22053C6C5B1_.wvu.FilterData" localSheetId="0" hidden="1">общее!$A$8:$J$338</definedName>
    <definedName name="Z_ACBA7AB7_E5BF_4817_ACF6_DA5FB388AD46_.wvu.FilterData" localSheetId="0" hidden="1">общее!$A$8:$J$414</definedName>
    <definedName name="Z_AEABEE2C_6038_47D9_81A7_15110E43218C_.wvu.FilterData" localSheetId="0" hidden="1">общее!$A$8:$J$414</definedName>
    <definedName name="Z_B0CF427B_E64B_46A6_97A4_9B49090FE4BE_.wvu.FilterData" localSheetId="0" hidden="1">общее!$A$8:$J$414</definedName>
    <definedName name="Z_B2319D0F_B5B7_4B85_B31D_3FEB7916998F_.wvu.FilterData" localSheetId="0" hidden="1">общее!$A$8:$J$516</definedName>
    <definedName name="Z_B336CD9A_4E95_4198_A80C_38F58D0A76FB_.wvu.FilterData" localSheetId="0" hidden="1">общее!$A$8:$J$285</definedName>
    <definedName name="Z_B4997D58_BD25_4440_9383_3C887D277BCF_.wvu.FilterData" localSheetId="0" hidden="1">общее!$A$8:$J$414</definedName>
    <definedName name="Z_B55746B5_6CDF_443B_8C7F_8F8A1DC5562E_.wvu.FilterData" localSheetId="0" hidden="1">общее!$A$8:$J$516</definedName>
    <definedName name="Z_B607774B_B68E_4DBE_B4D4_274DD101B3B3_.wvu.FilterData" localSheetId="0" hidden="1">общее!$A$6:$J$8</definedName>
    <definedName name="Z_B637BC8F_E49F_4D36_BA7E_87587BAEF462_.wvu.FilterData" localSheetId="0" hidden="1">общее!$A$8:$J$414</definedName>
    <definedName name="Z_B8AC68F9_618C_4990_B101_9BD7FB1FCD22_.wvu.FilterData" localSheetId="0" hidden="1">общее!$A$6:$J$8</definedName>
    <definedName name="Z_B9D2896B_3D46_4E80_A333_D35EE8923B5F_.wvu.FilterData" localSheetId="0" hidden="1">общее!$A$8:$J$338</definedName>
    <definedName name="Z_BA1D743D_8CD7_4C01_B0E4_1729D2189C73_.wvu.FilterData" localSheetId="0" hidden="1">общее!$A$8:$J$338</definedName>
    <definedName name="Z_BB4DF29A_3635_4350_9E09_BBEF363FC239_.wvu.FilterData" localSheetId="0" hidden="1">общее!$A$6:$J$8</definedName>
    <definedName name="Z_BC4BF63E_98F8_4CE0_B0DE_A2A71C291EFE_.wvu.FilterData" localSheetId="0" hidden="1">общее!$A$8:$J$338</definedName>
    <definedName name="Z_BE1C4A44_01B5_4ECE_8D55_C71095D37032_.wvu.FilterData" localSheetId="0" hidden="1">общее!$A$8:$J$338</definedName>
    <definedName name="Z_BED4F540_47A7_459B_8414_21EF84302EA3_.wvu.FilterData" localSheetId="0" hidden="1">общее!$A$8:$J$414</definedName>
    <definedName name="Z_BF36043A_AFA1_4ED6_B54F_F4173C55E31C_.wvu.FilterData" localSheetId="0" hidden="1">общее!$A$8:$J$414</definedName>
    <definedName name="Z_BF57B08F_2B48_4EE9_9ADD_06D6906608C1_.wvu.FilterData" localSheetId="0" hidden="1">общее!$A$8:$J$516</definedName>
    <definedName name="Z_C105019C_D493_4AF2_B08B_98003C4FEF9B_.wvu.FilterData" localSheetId="0" hidden="1">общее!$A$8:$J$414</definedName>
    <definedName name="Z_C172C42A_B6A9_490D_905B_14F6BA2DCBCA_.wvu.FilterData" localSheetId="0" hidden="1">общее!$A$8:$J$338</definedName>
    <definedName name="Z_C32A6808_4BDA_43E4_ACD1_1B0FCC0DA219_.wvu.FilterData" localSheetId="0" hidden="1">общее!$A$8:$J$414</definedName>
    <definedName name="Z_C343756C_7EBC_41EB_89B6_11C31F46AD7D_.wvu.FilterData" localSheetId="0" hidden="1">общее!$A$8:$J$414</definedName>
    <definedName name="Z_C4269454_1D3D_4937_A7DB_6BFDB690E1BF_.wvu.FilterData" localSheetId="0" hidden="1">общее!$A$8:$J$414</definedName>
    <definedName name="Z_C4A91C4C_4FDF_4528_B780_BABD8261F89B_.wvu.FilterData" localSheetId="0" hidden="1">общее!$A$8:$J$285</definedName>
    <definedName name="Z_C5AC499E_0359_4E1F_94CE_578AF2A54734_.wvu.FilterData" localSheetId="0" hidden="1">общее!$A$8:$J$516</definedName>
    <definedName name="Z_C5DD2CEF_6DC9_42B9_B991_658B57CBD712_.wvu.FilterData" localSheetId="0" hidden="1">общее!$A$8:$J$516</definedName>
    <definedName name="Z_C735EAFD_5FE8_46E3_8A6D_B81A84B663E3_.wvu.FilterData" localSheetId="0" hidden="1">общее!$A$8:$J$285</definedName>
    <definedName name="Z_C7FD81BD_691B_4A89_96A0_CDABC50081E4_.wvu.FilterData" localSheetId="0" hidden="1">общее!$A$8:$J$414</definedName>
    <definedName name="Z_C8489D43_32B9_4349_973B_9C94F0536721_.wvu.FilterData" localSheetId="0" hidden="1">общее!$A$8:$J$516</definedName>
    <definedName name="Z_C920DB58_DB5D_4286_8169_C2AA2ED89A9A_.wvu.FilterData" localSheetId="0" hidden="1">общее!$A$8:$J$338</definedName>
    <definedName name="Z_CC0A6F72_A956_4FF0_A9CF_B2F133844683_.wvu.FilterData" localSheetId="0" hidden="1">общее!$A$8:$J$414</definedName>
    <definedName name="Z_CF069AD8_C6E4_40EE_85C1_CD44D38BC77F_.wvu.FilterData" localSheetId="0" hidden="1">общее!$A$8:$J$285</definedName>
    <definedName name="Z_CF1EFC15_1276_44E9_B8E0_6069FE1FC094_.wvu.FilterData" localSheetId="0" hidden="1">общее!$A$8:$J$414</definedName>
    <definedName name="Z_CFB0A04F_563D_4D2B_BCD3_ACFCDC70E584_.wvu.FilterData" localSheetId="0" hidden="1">общее!$A$8:$J$338</definedName>
    <definedName name="Z_CFB0A04F_563D_4D2B_BCD3_ACFCDC70E584_.wvu.Rows" localSheetId="0" hidden="1">общее!$9:$118,общее!$120:$132</definedName>
    <definedName name="Z_CFD58EC5_F475_4F0C_8822_861C497EA100_.wvu.FilterData" localSheetId="0" hidden="1">общее!$A$8:$J$285</definedName>
    <definedName name="Z_CFD58EC5_F475_4F0C_8822_861C497EA100_.wvu.PrintArea" localSheetId="0" hidden="1">общее!$A$1:$J$289</definedName>
    <definedName name="Z_CFD58EC5_F475_4F0C_8822_861C497EA100_.wvu.PrintTitles" localSheetId="0" hidden="1">общее!$8:$8</definedName>
    <definedName name="Z_D0621073_25BE_47D7_AC33_51146458D41C_.wvu.FilterData" localSheetId="0" hidden="1">общее!$A$8:$J$338</definedName>
    <definedName name="Z_D0B76ABD_AC47_4A24_B250_D7DC3091D647_.wvu.FilterData" localSheetId="0" hidden="1">общее!$A$8:$J$285</definedName>
    <definedName name="Z_D10FBD64_4601_40D8_BA69_F0EA6D3ED846_.wvu.FilterData" localSheetId="0" hidden="1">общее!$A$8:$J$338</definedName>
    <definedName name="Z_D14B1F1D_6F0E_49B1_92FB_6E5D79228E22_.wvu.FilterData" localSheetId="0" hidden="1">общее!$A$8:$J$414</definedName>
    <definedName name="Z_D3BF9972_335A_4BF6_985A_3FAFB12859F0_.wvu.FilterData" localSheetId="0" hidden="1">общее!$A$8:$J$338</definedName>
    <definedName name="Z_D3FC038B_D1F5_4CDD_BF89_B0BF2773CD42_.wvu.FilterData" localSheetId="0" hidden="1">общее!$A$6:$J$8</definedName>
    <definedName name="Z_D4E8D1A3_1CF7_4E9F_8E3E_76E99A013BCC_.wvu.FilterData" localSheetId="0" hidden="1">общее!$A$8:$J$414</definedName>
    <definedName name="Z_D5681C61_0984_4C5B_9D67_8EE316AD015C_.wvu.FilterData" localSheetId="0" hidden="1">общее!$A$8:$J$414</definedName>
    <definedName name="Z_D64EF95C_79C4_46AC_AC41_4006BE2579BA_.wvu.FilterData" localSheetId="0" hidden="1">общее!$A$8:$J$414</definedName>
    <definedName name="Z_D6C9B499_8D30_4283_AE2A_B58ABDEBA548_.wvu.FilterData" localSheetId="0" hidden="1">общее!$A$8:$J$516</definedName>
    <definedName name="Z_D99C893A_0D9F_4F69_B1E5_4BCEB72F4291_.wvu.FilterData" localSheetId="0" hidden="1">общее!$A$6:$J$8</definedName>
    <definedName name="Z_DB146771_765B_4EDB_AC76_D56707AD72CF_.wvu.FilterData" localSheetId="0" hidden="1">общее!$A$8:$J$414</definedName>
    <definedName name="Z_DBF8F6A4_7388_4C5F_8609_AD47282385A6_.wvu.FilterData" localSheetId="0" hidden="1">общее!$A$8:$J$516</definedName>
    <definedName name="Z_DE0623D9_75DF_4C41_AF3E_5381C2A8629F_.wvu.FilterData" localSheetId="0" hidden="1">общее!$A$8:$J$414</definedName>
    <definedName name="Z_DFF3F719_2855_42BC_ACEB_8441420613B1_.wvu.FilterData" localSheetId="0" hidden="1">общее!$A$8:$J$338</definedName>
    <definedName name="Z_E147D13D_D04D_431E_888C_5A9AE670FC44_.wvu.FilterData" localSheetId="0" hidden="1">общее!$A$6:$J$8</definedName>
    <definedName name="Z_E147D13D_D04D_431E_888C_5A9AE670FC44_.wvu.PrintTitles" localSheetId="0" hidden="1">общее!$8:$8</definedName>
    <definedName name="Z_E1663454_FD8A_4EB7_8B04_ADE04D736B77_.wvu.FilterData" localSheetId="0" hidden="1">общее!$A$8:$J$414</definedName>
    <definedName name="Z_E3334516_B3FD_45B9_AB64_DFED61082F84_.wvu.FilterData" localSheetId="0" hidden="1">общее!$A$8:$J$414</definedName>
    <definedName name="Z_E3983C1A_AB41_491B_B4D8_ECB97796B009_.wvu.FilterData" localSheetId="0" hidden="1">общее!$A$8:$J$414</definedName>
    <definedName name="Z_E418290D_2076_47BD_8438_6673CF24E35A_.wvu.FilterData" localSheetId="0" hidden="1">общее!$A$8:$J$414</definedName>
    <definedName name="Z_EA8E6D18_68D7_4389_88CB_3C3027AB668A_.wvu.FilterData" localSheetId="0" hidden="1">общее!$A$8:$J$516</definedName>
    <definedName name="Z_ED5AC437_1F65_441E_BBEA_F88D9FEA1BA8_.wvu.FilterData" localSheetId="0" hidden="1">общее!$A$8:$J$338</definedName>
    <definedName name="Z_EE3611DB_BB9A_42C8_98CA_2B323AB8FB7B_.wvu.FilterData" localSheetId="0" hidden="1">общее!$A$8:$J$414</definedName>
    <definedName name="Z_EF32CA8F_131B_41F0_AA31_167807ADE2D4_.wvu.FilterData" localSheetId="0" hidden="1">общее!$A$8:$J$516</definedName>
    <definedName name="Z_EFD63851_2976_4987_8539_F3FE3A991088_.wvu.FilterData" localSheetId="0" hidden="1">общее!$A$8:$J$414</definedName>
    <definedName name="Z_F06ACB63_A424_47E0_8092_CCE891CCD225_.wvu.FilterData" localSheetId="0" hidden="1">общее!$A$6:$J$8</definedName>
    <definedName name="Z_F14D494F_E5E8_4E8F_99A5_E5D0EE7C4CD1_.wvu.FilterData" localSheetId="0" hidden="1">общее!$A$8:$J$338</definedName>
    <definedName name="Z_F35C19AC_1AD8_4B98_9E5C_812DA7490AFD_.wvu.FilterData" localSheetId="0" hidden="1">общее!$A$8:$J$338</definedName>
    <definedName name="Z_F5149A81_C534_4D57_8E28_ACCC96AC9AC3_.wvu.FilterData" localSheetId="0" hidden="1">общее!$A$8:$J$414</definedName>
    <definedName name="Z_F5211A6A_EE37_46DC_9C2C_FBE0CAB7604C_.wvu.FilterData" localSheetId="0" hidden="1">общее!$A$6:$J$8</definedName>
    <definedName name="Z_F6991520_2C3B_4C21_9197_8515F05E79C7_.wvu.FilterData" localSheetId="0" hidden="1">общее!$A$8:$J$414</definedName>
    <definedName name="Z_F73173ED_9D02_4835_8031_F71A7D33ECA6_.wvu.FilterData" localSheetId="0" hidden="1">общее!$A$8:$J$516</definedName>
    <definedName name="Z_F9324F9E_6E0D_484A_B1A6_F87CCAA93894_.wvu.FilterData" localSheetId="0" hidden="1">общее!$A$8:$J$338</definedName>
    <definedName name="Z_F9544812_EB32_433B_BB14_D909670E9E5D_.wvu.FilterData" localSheetId="0" hidden="1">общее!$A$8:$J$338</definedName>
    <definedName name="Z_F9CD2061_D224_494A_B06D_1C81E6930B04_.wvu.FilterData" localSheetId="0" hidden="1">общее!$A$8:$J$285</definedName>
    <definedName name="Z_F9D2B861_A6DF_4E58_9205_20667B07345D_.wvu.FilterData" localSheetId="0" hidden="1">общее!$A$8:$J$414</definedName>
    <definedName name="Z_FA039D92_C83F_438E_BA9D_917452CA1B7F_.wvu.FilterData" localSheetId="0" hidden="1">общее!$A$8:$J$338</definedName>
    <definedName name="Z_FF1C8053_6325_4562_BDE7_81A6D9BCDD2B_.wvu.FilterData" localSheetId="0" hidden="1">общее!$A$8:$J$285</definedName>
    <definedName name="Z_FFB47FFE_A5E4_419A_BD39_DDC70DF4F5D4_.wvu.FilterData" localSheetId="0" hidden="1">общее!$A$8:$J$338</definedName>
  </definedNames>
  <calcPr calcId="124519"/>
  <customWorkbookViews>
    <customWorkbookView name="User459c - Личное представление" guid="{84AB9039-6109-4932-AA14-522BD4A30F0B}" mergeInterval="0" personalView="1" maximized="1" xWindow="1" yWindow="1" windowWidth="1920" windowHeight="802" activeSheetId="1"/>
    <customWorkbookView name="User_569 - Личное представление" guid="{68CBFC64-03A4-4F74-B34E-EE1DB915A668}" mergeInterval="0" personalView="1" maximized="1" xWindow="1" yWindow="1" windowWidth="1885" windowHeight="801" activeSheetId="1"/>
    <customWorkbookView name="User465d - Личное представление" guid="{D0621073-25BE-47D7-AC33-51146458D41C}" mergeInterval="0" personalView="1" maximized="1" xWindow="1" yWindow="1" windowWidth="1920" windowHeight="850" activeSheetId="1"/>
    <customWorkbookView name="user457c - Личное представление" guid="{221AFC77-C97B-4D44-8163-7AA758A08BF9}" mergeInterval="0" personalView="1" maximized="1" xWindow="1" yWindow="1" windowWidth="1791" windowHeight="802" activeSheetId="1"/>
    <customWorkbookView name="user565f - Личное представление" guid="{713A662A-DFDD-43FB-A56E-1E210432D89D}" mergeInterval="0" personalView="1" maximized="1" xWindow="1" yWindow="1" windowWidth="1920" windowHeight="850" activeSheetId="1"/>
    <customWorkbookView name="User563c - Личное представление" guid="{675C859F-867B-4E3E-8283-3B2C94BFA5E5}" mergeInterval="0" personalView="1" maximized="1" xWindow="1" yWindow="1" windowWidth="1920" windowHeight="802" activeSheetId="1"/>
    <customWorkbookView name="User463d - Личное представление" guid="{F9324F9E-6E0D-484A-B1A6-F87CCAA93894}" mergeInterval="0" personalView="1" maximized="1" xWindow="1" yWindow="1" windowWidth="1920" windowHeight="850" activeSheetId="1"/>
    <customWorkbookView name="user416c - Личное представление" guid="{966D3932-E429-4C59-AC55-697D9EEA620A}" mergeInterval="0" personalView="1" maximized="1" xWindow="1" yWindow="1" windowWidth="1920" windowHeight="784" activeSheetId="1"/>
    <customWorkbookView name="user465a - Личное представление" guid="{EF32CA8F-131B-41F0-AA31-167807ADE2D4}" mergeInterval="0" personalView="1" maximized="1" xWindow="1" yWindow="1" windowWidth="1916" windowHeight="850" activeSheetId="1"/>
    <customWorkbookView name="User465e - Личное представление" guid="{2C18B72E-FABC-405E-9989-871873679CB9}" mergeInterval="0" personalView="1" maximized="1" xWindow="1" yWindow="1" windowWidth="1920" windowHeight="850" activeSheetId="1"/>
    <customWorkbookView name="User563b - Личное представление" guid="{8112C56A-816E-41B5-AC5C-5C34336EE27C}" mergeInterval="0" personalView="1" maximized="1" xWindow="-9" yWindow="-9" windowWidth="1938" windowHeight="1048" activeSheetId="1"/>
    <customWorkbookView name="User56a - Личное представление" guid="{B0CF427B-E64B-46A6-97A4-9B49090FE4BE}" mergeInterval="0" personalView="1" maximized="1" xWindow="-8" yWindow="-8" windowWidth="1936" windowHeight="1056" activeSheetId="1"/>
    <customWorkbookView name="Microsoft - Личное представление" guid="{72EDDA2C-BFF2-4D48-A13B-2B9C46213374}" mergeInterval="0" personalView="1" maximized="1" xWindow="1" yWindow="1" windowWidth="1366" windowHeight="496" activeSheetId="1"/>
    <customWorkbookView name="Танечка - Особисте подання" guid="{839A87F2-F73A-45C5-ADB8-392A99CC1EFF}" mergeInterval="0" personalView="1" maximized="1" xWindow="-8" yWindow="-8" windowWidth="1936" windowHeight="1056" activeSheetId="1"/>
    <customWorkbookView name="user_451 - Личное представление" guid="{5EEB5DC5-097B-47D6-81BA-F19E1000B57E}" mergeInterval="0" personalView="1" maximized="1" xWindow="-8" yWindow="-8" windowWidth="1936" windowHeight="1056" activeSheetId="1"/>
    <customWorkbookView name="Tanya - Личное представление" guid="{795D5ECF-BF90-4F3E-A74E-B1A55C8421F2}" mergeInterval="0" personalView="1" maximized="1" xWindow="1" yWindow="1" windowWidth="1920" windowHeight="808" activeSheetId="1"/>
    <customWorkbookView name="User_463 - Личное представление" guid="{E147D13D-D04D-431E-888C-5A9AE670FC44}" mergeInterval="0" personalView="1" maximized="1" windowWidth="1276" windowHeight="850" activeSheetId="1"/>
    <customWorkbookView name="Garmash - Личное представление" guid="{3B5575E9-696E-4E1F-8BBE-8483CF318052}" mergeInterval="0" personalView="1" maximized="1" windowWidth="1020" windowHeight="562" activeSheetId="1"/>
    <customWorkbookView name="User416 - Личное представление" guid="{452C56A1-7A56-4ADE-A5CF-E260228787E3}" mergeInterval="0" personalView="1" maximized="1" windowWidth="1020" windowHeight="596" activeSheetId="1"/>
    <customWorkbookView name="user_457 - Личное представление" guid="{7EDDA008-F905-436E-A980-951BDACDA577}" mergeInterval="0" personalView="1" maximized="1" xWindow="1" yWindow="1" windowWidth="1920" windowHeight="753" activeSheetId="1"/>
    <customWorkbookView name="User457c  - Личное представление" guid="{2A0A5548-2EEF-4469-A03C-FA481083CE33}" mergeInterval="0" personalView="1" maximized="1" windowWidth="1020" windowHeight="569" activeSheetId="1"/>
    <customWorkbookView name="user458 - Личное представление" guid="{CC0A6F72-A956-4FF0-A9CF-B2F133844683}" mergeInterval="0" personalView="1" maximized="1" xWindow="1" yWindow="1" windowWidth="1280" windowHeight="453" activeSheetId="1"/>
    <customWorkbookView name="User565 - Личное представление" guid="{B5FF27E5-4C0E-4323-88CE-5D44F441DDEF}" mergeInterval="0" personalView="1" maximized="1" xWindow="1" yWindow="1" windowWidth="1920" windowHeight="829" activeSheetId="1"/>
    <customWorkbookView name="User_455 - Личное представление" guid="{33313D92-ACCC-472C-8066-C92558BED64F}" mergeInterval="0" personalView="1" maximized="1" xWindow="1" yWindow="1" windowWidth="1920" windowHeight="753" activeSheetId="1"/>
    <customWorkbookView name="user415a - Личное представление" guid="{F9D2B861-A6DF-4E58-9205-20667B07345D}" mergeInterval="0" personalView="1" maximized="1" xWindow="1" yWindow="1" windowWidth="1440" windowHeight="633" activeSheetId="1"/>
    <customWorkbookView name="User415b - Личное представление" guid="{0EDC1FFF-2611-4DAC-98A8-22EC25025967}" mergeInterval="0" personalView="1" maximized="1" xWindow="1" yWindow="1" windowWidth="1916" windowHeight="808" activeSheetId="1"/>
    <customWorkbookView name="user416d - Личное представление" guid="{998E5F34-5F22-456C-AF6B-44B849DA5E75}" mergeInterval="0" personalView="1" maximized="1" xWindow="1" yWindow="1" windowWidth="1916" windowHeight="692" activeSheetId="1"/>
    <customWorkbookView name="User465b - Личное представление" guid="{471079C8-6E8B-4088-8968-A7D0C5B8653D}" mergeInterval="0" personalView="1" maximized="1" xWindow="1" yWindow="1" windowWidth="1920" windowHeight="850" activeSheetId="1"/>
    <customWorkbookView name="Use565c - Личное представление" guid="{A600D8D5-C13F-49F2-9D2C-FC8EA32AC551}" mergeInterval="0" personalView="1" maximized="1" xWindow="1" yWindow="1" windowWidth="1920" windowHeight="802" activeSheetId="1"/>
    <customWorkbookView name="user - Личное представление" guid="{868786DC-4C96-45F5-A272-3E03D4B934A0}" mergeInterval="0" personalView="1" maximized="1" xWindow="-8" yWindow="-8" windowWidth="1936" windowHeight="1056" activeSheetId="1"/>
    <customWorkbookView name="User569a - Личное представление" guid="{8FB1E024-9866-4CAD-B900-0CCFEA27B234}" mergeInterval="0" personalView="1" maximized="1" xWindow="1" yWindow="1" windowWidth="1920" windowHeight="850" activeSheetId="1"/>
    <customWorkbookView name="User457d - Личное представление" guid="{0CBA335B-0DD8-471B-913E-91954D8A7DE8}" mergeInterval="0" personalView="1" maximized="1" xWindow="1" yWindow="1" windowWidth="1916" windowHeight="802" activeSheetId="1"/>
    <customWorkbookView name="user457a - Личное представление" guid="{1BDFBE17-25BB-4BB9-B67F-4757B39B2D64}" mergeInterval="0" personalView="1" maximized="1" xWindow="1" yWindow="1" windowWidth="1916" windowHeight="810" activeSheetId="1"/>
    <customWorkbookView name="Танечка - Личное представление" guid="{BE1C4A44-01B5-4ECE-8D55-C71095D37032}" mergeInterval="0" personalView="1" maximized="1" xWindow="1" yWindow="1" windowWidth="1920" windowHeight="850" activeSheetId="1"/>
    <customWorkbookView name="user415c - Личное представление" guid="{3824CD03-2F75-4531-8348-997F8B6518CE}" mergeInterval="0" personalView="1" maximized="1" xWindow="1" yWindow="1" windowWidth="1877" windowHeight="836" activeSheetId="1"/>
    <customWorkbookView name="user563a - Личное представление" guid="{CFB0A04F-563D-4D2B-BCD3-ACFCDC70E584}" mergeInterval="0" personalView="1" maximized="1" xWindow="1" yWindow="1" windowWidth="1846" windowHeight="838" activeSheetId="1"/>
    <customWorkbookView name="User569c - Личное представление" guid="{BC4BF63E-98F8-4CE0-B0DE-A2A71C291EFE}" mergeInterval="0" personalView="1" maximized="1" xWindow="1" yWindow="1" windowWidth="1920" windowHeight="850" activeSheetId="1"/>
    <customWorkbookView name="Яна - Личное представление" guid="{9BFA17BE-4413-48EA-8DFA-9D7972E1D966}" mergeInterval="0" personalView="1" maximized="1" xWindow="1" yWindow="1" windowWidth="1920" windowHeight="850" activeSheetId="1"/>
    <customWorkbookView name="user459b - Личное представление" guid="{FA039D92-C83F-438E-BA9D-917452CA1B7F}" mergeInterval="0" personalView="1" maximized="1" xWindow="1" yWindow="1" windowWidth="1920" windowHeight="850" activeSheetId="1"/>
    <customWorkbookView name="User415 - Личное представление" guid="{06B33669-D909-4CD8-806F-33C009B9DF0A}" mergeInterval="0" personalView="1" maximized="1" xWindow="1" yWindow="1" windowWidth="1920" windowHeight="850" activeSheetId="1"/>
    <customWorkbookView name="user459a - Личное представление" guid="{8DA01475-C6A0-4A19-B7EB-B1C704431492}" mergeInterval="0" personalView="1" maximized="1" xWindow="1" yWindow="1" windowWidth="1904" windowHeight="838" activeSheetId="1"/>
    <customWorkbookView name="user457b - Личное представление" guid="{95A7493F-2B11-406A-BB91-458FD9DC3BAE}" mergeInterval="0" personalView="1" maximized="1" xWindow="1" yWindow="1" windowWidth="1891" windowHeight="695" activeSheetId="1"/>
    <customWorkbookView name="User416b - Личное представление" guid="{90518B97-7307-4173-A97E-975285B914B1}" mergeInterval="0" personalView="1" maximized="1" xWindow="1" yWindow="1" windowWidth="1920" windowHeight="850" activeSheetId="1"/>
    <customWorkbookView name="User416a - Личное представление" guid="{CFD58EC5-F475-4F0C-8822-861C497EA100}" mergeInterval="0" personalView="1" maximized="1" xWindow="1" yWindow="1" windowWidth="1920" windowHeight="850" tabRatio="563" activeSheetId="1"/>
  </customWorkbookViews>
</workbook>
</file>

<file path=xl/calcChain.xml><?xml version="1.0" encoding="utf-8"?>
<calcChain xmlns="http://schemas.openxmlformats.org/spreadsheetml/2006/main">
  <c r="J277" i="1"/>
  <c r="I277"/>
  <c r="D107"/>
  <c r="E108"/>
  <c r="I100"/>
  <c r="I97"/>
  <c r="F232"/>
  <c r="G220" l="1"/>
  <c r="F263"/>
  <c r="H222"/>
  <c r="H220" s="1"/>
  <c r="D172"/>
  <c r="C172"/>
  <c r="D213"/>
  <c r="C213"/>
  <c r="G106"/>
  <c r="H106"/>
  <c r="C107"/>
  <c r="C106" s="1"/>
  <c r="I107"/>
  <c r="E109"/>
  <c r="D111"/>
  <c r="H111"/>
  <c r="C112"/>
  <c r="D113"/>
  <c r="G113"/>
  <c r="G112" s="1"/>
  <c r="H113"/>
  <c r="H112" s="1"/>
  <c r="D114"/>
  <c r="E114" s="1"/>
  <c r="I114"/>
  <c r="E115"/>
  <c r="I115"/>
  <c r="C116"/>
  <c r="D116"/>
  <c r="E117"/>
  <c r="F117"/>
  <c r="E118"/>
  <c r="F118"/>
  <c r="E119"/>
  <c r="G120"/>
  <c r="I120" s="1"/>
  <c r="I121"/>
  <c r="I122"/>
  <c r="E123"/>
  <c r="F123"/>
  <c r="I123"/>
  <c r="E124"/>
  <c r="F124"/>
  <c r="I124"/>
  <c r="J124"/>
  <c r="C125"/>
  <c r="D125"/>
  <c r="G125"/>
  <c r="H125"/>
  <c r="E126"/>
  <c r="F126"/>
  <c r="I126"/>
  <c r="E127"/>
  <c r="F127"/>
  <c r="E128"/>
  <c r="F128"/>
  <c r="I128"/>
  <c r="E129"/>
  <c r="C130"/>
  <c r="D130"/>
  <c r="G130"/>
  <c r="H130"/>
  <c r="E131"/>
  <c r="F131"/>
  <c r="I131"/>
  <c r="E132"/>
  <c r="C133"/>
  <c r="D133"/>
  <c r="H133"/>
  <c r="I133" s="1"/>
  <c r="E134"/>
  <c r="I134"/>
  <c r="E135"/>
  <c r="F135"/>
  <c r="E136"/>
  <c r="F136"/>
  <c r="I136"/>
  <c r="E137"/>
  <c r="I138"/>
  <c r="D140"/>
  <c r="E140" s="1"/>
  <c r="G140"/>
  <c r="G139" s="1"/>
  <c r="H140"/>
  <c r="E141"/>
  <c r="F141"/>
  <c r="H141"/>
  <c r="I141" s="1"/>
  <c r="E142"/>
  <c r="F142"/>
  <c r="I142"/>
  <c r="J142"/>
  <c r="E143"/>
  <c r="F143"/>
  <c r="C144"/>
  <c r="D145"/>
  <c r="E145" s="1"/>
  <c r="C146"/>
  <c r="D146"/>
  <c r="E147"/>
  <c r="C149"/>
  <c r="D149"/>
  <c r="E150"/>
  <c r="E151"/>
  <c r="F151"/>
  <c r="E152"/>
  <c r="E154"/>
  <c r="E155"/>
  <c r="E156"/>
  <c r="F156"/>
  <c r="E157"/>
  <c r="F157"/>
  <c r="C158"/>
  <c r="D158"/>
  <c r="G158"/>
  <c r="G148" s="1"/>
  <c r="H158"/>
  <c r="E159"/>
  <c r="F159"/>
  <c r="I159"/>
  <c r="J159"/>
  <c r="E160"/>
  <c r="F160"/>
  <c r="I160"/>
  <c r="J160"/>
  <c r="C161"/>
  <c r="D161"/>
  <c r="C163"/>
  <c r="D163"/>
  <c r="G163"/>
  <c r="H163"/>
  <c r="E164"/>
  <c r="F164"/>
  <c r="I164"/>
  <c r="J164"/>
  <c r="E166"/>
  <c r="F166"/>
  <c r="E167"/>
  <c r="F167"/>
  <c r="I167"/>
  <c r="C168"/>
  <c r="D168"/>
  <c r="E169"/>
  <c r="E170"/>
  <c r="E171"/>
  <c r="F171"/>
  <c r="E173"/>
  <c r="F173"/>
  <c r="C174"/>
  <c r="D174"/>
  <c r="E175"/>
  <c r="F175"/>
  <c r="E176"/>
  <c r="F176"/>
  <c r="H178"/>
  <c r="C181"/>
  <c r="D181"/>
  <c r="G181"/>
  <c r="H181"/>
  <c r="E182"/>
  <c r="F182"/>
  <c r="I182"/>
  <c r="E183"/>
  <c r="F183"/>
  <c r="E185"/>
  <c r="F185"/>
  <c r="I185"/>
  <c r="E186"/>
  <c r="F186"/>
  <c r="I186"/>
  <c r="C187"/>
  <c r="C184" s="1"/>
  <c r="D187"/>
  <c r="D184" s="1"/>
  <c r="G187"/>
  <c r="G184" s="1"/>
  <c r="H187"/>
  <c r="H184" s="1"/>
  <c r="E188"/>
  <c r="I188"/>
  <c r="E189"/>
  <c r="C191"/>
  <c r="D191"/>
  <c r="E192"/>
  <c r="F192"/>
  <c r="E193"/>
  <c r="C194"/>
  <c r="D194"/>
  <c r="G194"/>
  <c r="H194"/>
  <c r="E195"/>
  <c r="F195"/>
  <c r="I195"/>
  <c r="E196"/>
  <c r="F196"/>
  <c r="E197"/>
  <c r="F197"/>
  <c r="I197"/>
  <c r="C198"/>
  <c r="D198"/>
  <c r="G198"/>
  <c r="E199"/>
  <c r="F199"/>
  <c r="H199"/>
  <c r="C201"/>
  <c r="D201"/>
  <c r="G201"/>
  <c r="H201"/>
  <c r="E202"/>
  <c r="E203"/>
  <c r="F203"/>
  <c r="I203"/>
  <c r="J203"/>
  <c r="C206"/>
  <c r="D206"/>
  <c r="G206"/>
  <c r="H206"/>
  <c r="H205" s="1"/>
  <c r="C207"/>
  <c r="D207"/>
  <c r="C208"/>
  <c r="D208"/>
  <c r="H208"/>
  <c r="I208" s="1"/>
  <c r="C209"/>
  <c r="D209"/>
  <c r="G209"/>
  <c r="H209"/>
  <c r="D210"/>
  <c r="E210" s="1"/>
  <c r="D211"/>
  <c r="E211" s="1"/>
  <c r="H211"/>
  <c r="I211" s="1"/>
  <c r="E212"/>
  <c r="E214"/>
  <c r="H215"/>
  <c r="H213" s="1"/>
  <c r="I213" s="1"/>
  <c r="E216"/>
  <c r="G216"/>
  <c r="I216" s="1"/>
  <c r="C218"/>
  <c r="E219"/>
  <c r="D220"/>
  <c r="E220" s="1"/>
  <c r="I221"/>
  <c r="I223"/>
  <c r="I224"/>
  <c r="I225"/>
  <c r="I226"/>
  <c r="I227"/>
  <c r="E228"/>
  <c r="I228"/>
  <c r="I229"/>
  <c r="C231"/>
  <c r="D231"/>
  <c r="E232"/>
  <c r="C233"/>
  <c r="D233"/>
  <c r="E234"/>
  <c r="H234"/>
  <c r="H233" s="1"/>
  <c r="E236"/>
  <c r="E237"/>
  <c r="E238"/>
  <c r="I238"/>
  <c r="I240"/>
  <c r="E241"/>
  <c r="C242"/>
  <c r="C235" s="1"/>
  <c r="D242"/>
  <c r="D235" s="1"/>
  <c r="G242"/>
  <c r="G235" s="1"/>
  <c r="H242"/>
  <c r="H235" s="1"/>
  <c r="I243"/>
  <c r="J243"/>
  <c r="E244"/>
  <c r="I244"/>
  <c r="D246"/>
  <c r="G246"/>
  <c r="H246"/>
  <c r="C247"/>
  <c r="C246" s="1"/>
  <c r="I247"/>
  <c r="J247"/>
  <c r="E248"/>
  <c r="C249"/>
  <c r="D249"/>
  <c r="G249"/>
  <c r="H249"/>
  <c r="I250"/>
  <c r="E251"/>
  <c r="E252"/>
  <c r="F252"/>
  <c r="I252"/>
  <c r="G253"/>
  <c r="H253"/>
  <c r="E255"/>
  <c r="F255"/>
  <c r="D256"/>
  <c r="H256"/>
  <c r="E257"/>
  <c r="E258"/>
  <c r="I258"/>
  <c r="J258"/>
  <c r="C259"/>
  <c r="C256" s="1"/>
  <c r="G259"/>
  <c r="G256" s="1"/>
  <c r="E260"/>
  <c r="I260"/>
  <c r="J260"/>
  <c r="C262"/>
  <c r="D262"/>
  <c r="E264"/>
  <c r="F264"/>
  <c r="E265"/>
  <c r="G267"/>
  <c r="H267"/>
  <c r="G268"/>
  <c r="H268"/>
  <c r="I270"/>
  <c r="J270"/>
  <c r="C274"/>
  <c r="C273" s="1"/>
  <c r="C278" s="1"/>
  <c r="D274"/>
  <c r="G274"/>
  <c r="G273" s="1"/>
  <c r="G278" s="1"/>
  <c r="H274"/>
  <c r="H273" s="1"/>
  <c r="I275"/>
  <c r="J275"/>
  <c r="E276"/>
  <c r="F276"/>
  <c r="I276"/>
  <c r="E281"/>
  <c r="F281"/>
  <c r="E282"/>
  <c r="F282"/>
  <c r="C283"/>
  <c r="D283"/>
  <c r="E284"/>
  <c r="F284"/>
  <c r="C285"/>
  <c r="D148" l="1"/>
  <c r="F231"/>
  <c r="C148"/>
  <c r="I111"/>
  <c r="H110"/>
  <c r="F256"/>
  <c r="H148"/>
  <c r="F283"/>
  <c r="C204"/>
  <c r="E194"/>
  <c r="D205"/>
  <c r="G204"/>
  <c r="G205"/>
  <c r="I205" s="1"/>
  <c r="C139"/>
  <c r="C205"/>
  <c r="C110"/>
  <c r="G110"/>
  <c r="E213"/>
  <c r="E181"/>
  <c r="I253"/>
  <c r="I209"/>
  <c r="J267"/>
  <c r="E259"/>
  <c r="E208"/>
  <c r="E262"/>
  <c r="E233"/>
  <c r="J216"/>
  <c r="E249"/>
  <c r="F158"/>
  <c r="I249"/>
  <c r="I235"/>
  <c r="I234"/>
  <c r="E205"/>
  <c r="J201"/>
  <c r="I194"/>
  <c r="F174"/>
  <c r="J163"/>
  <c r="F145"/>
  <c r="I140"/>
  <c r="F125"/>
  <c r="F207"/>
  <c r="D285"/>
  <c r="E285" s="1"/>
  <c r="E283"/>
  <c r="J256"/>
  <c r="F249"/>
  <c r="E235"/>
  <c r="D230"/>
  <c r="D217" s="1"/>
  <c r="F201"/>
  <c r="F194"/>
  <c r="I181"/>
  <c r="F163"/>
  <c r="J158"/>
  <c r="E146"/>
  <c r="F140"/>
  <c r="I125"/>
  <c r="F114"/>
  <c r="D112"/>
  <c r="I268"/>
  <c r="C245"/>
  <c r="I206"/>
  <c r="F198"/>
  <c r="F181"/>
  <c r="E174"/>
  <c r="F172"/>
  <c r="I158"/>
  <c r="E158"/>
  <c r="D144"/>
  <c r="F144" s="1"/>
  <c r="I130"/>
  <c r="F116"/>
  <c r="F107"/>
  <c r="F274"/>
  <c r="J268"/>
  <c r="I267"/>
  <c r="E247"/>
  <c r="D245"/>
  <c r="C230"/>
  <c r="C217" s="1"/>
  <c r="C190"/>
  <c r="G217"/>
  <c r="I215"/>
  <c r="E209"/>
  <c r="E207"/>
  <c r="H198"/>
  <c r="G190"/>
  <c r="F191"/>
  <c r="E168"/>
  <c r="F133"/>
  <c r="F130"/>
  <c r="I106"/>
  <c r="J253"/>
  <c r="H245"/>
  <c r="H139"/>
  <c r="I139" s="1"/>
  <c r="I220"/>
  <c r="I256"/>
  <c r="F184"/>
  <c r="E184"/>
  <c r="I112"/>
  <c r="G245"/>
  <c r="I273"/>
  <c r="H278"/>
  <c r="I278" s="1"/>
  <c r="I233"/>
  <c r="H230"/>
  <c r="I230" s="1"/>
  <c r="H204"/>
  <c r="F112"/>
  <c r="E256"/>
  <c r="I184"/>
  <c r="F247"/>
  <c r="I246"/>
  <c r="E246"/>
  <c r="E231"/>
  <c r="I222"/>
  <c r="E206"/>
  <c r="E198"/>
  <c r="E191"/>
  <c r="D190"/>
  <c r="I274"/>
  <c r="E274"/>
  <c r="D273"/>
  <c r="I259"/>
  <c r="J246"/>
  <c r="F246"/>
  <c r="I242"/>
  <c r="I201"/>
  <c r="E201"/>
  <c r="I199"/>
  <c r="I187"/>
  <c r="E187"/>
  <c r="E172"/>
  <c r="I163"/>
  <c r="E163"/>
  <c r="E133"/>
  <c r="I113"/>
  <c r="E113"/>
  <c r="E111"/>
  <c r="E107"/>
  <c r="D106"/>
  <c r="J259"/>
  <c r="E242"/>
  <c r="E149"/>
  <c r="E130"/>
  <c r="E125"/>
  <c r="E116"/>
  <c r="F113"/>
  <c r="F111"/>
  <c r="E112" l="1"/>
  <c r="D110"/>
  <c r="H217"/>
  <c r="I217" s="1"/>
  <c r="E245"/>
  <c r="D139"/>
  <c r="F139" s="1"/>
  <c r="E110"/>
  <c r="I198"/>
  <c r="I110"/>
  <c r="E144"/>
  <c r="F245"/>
  <c r="I148"/>
  <c r="D204"/>
  <c r="I204"/>
  <c r="J245"/>
  <c r="F285"/>
  <c r="G261"/>
  <c r="G266" s="1"/>
  <c r="G271" s="1"/>
  <c r="H190"/>
  <c r="I190" s="1"/>
  <c r="E230"/>
  <c r="C261"/>
  <c r="C266" s="1"/>
  <c r="C271" s="1"/>
  <c r="I245"/>
  <c r="F106"/>
  <c r="E106"/>
  <c r="F190"/>
  <c r="E190"/>
  <c r="E217"/>
  <c r="E148"/>
  <c r="F148"/>
  <c r="F273"/>
  <c r="E273"/>
  <c r="D278"/>
  <c r="F110" l="1"/>
  <c r="D261"/>
  <c r="F261" s="1"/>
  <c r="F204"/>
  <c r="E139"/>
  <c r="E204"/>
  <c r="H261"/>
  <c r="I261" s="1"/>
  <c r="F278"/>
  <c r="E278"/>
  <c r="E261" l="1"/>
  <c r="D266"/>
  <c r="E266" s="1"/>
  <c r="H266"/>
  <c r="I271" l="1"/>
  <c r="H271"/>
  <c r="D271"/>
  <c r="F271" s="1"/>
  <c r="F266"/>
  <c r="I266"/>
  <c r="E271" l="1"/>
</calcChain>
</file>

<file path=xl/sharedStrings.xml><?xml version="1.0" encoding="utf-8"?>
<sst xmlns="http://schemas.openxmlformats.org/spreadsheetml/2006/main" count="580" uniqueCount="508">
  <si>
    <t>Загальний фонд</t>
  </si>
  <si>
    <t>Спеціальний фонд</t>
  </si>
  <si>
    <t>Код бюджетної класифікації</t>
  </si>
  <si>
    <t>Найменування коду згідно із бюджетною класифікацією</t>
  </si>
  <si>
    <t>Державне управління</t>
  </si>
  <si>
    <t>Органи місцевого самоврядування</t>
  </si>
  <si>
    <t>Освіта</t>
  </si>
  <si>
    <t>Охорона здоров'я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</si>
  <si>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</si>
  <si>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</si>
  <si>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</si>
  <si>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</si>
  <si>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</si>
  <si>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водному транспорті</t>
  </si>
  <si>
    <t>Компенсаційні виплати за пільговий проїзд окремих категорій громадян на залізничному транспорті</t>
  </si>
  <si>
    <t>МІЖБЮДЖЕТНІ ТРАНСФЕРТИ</t>
  </si>
  <si>
    <t>ВСЬОГО ВИДАТКІВ З КРЕДИТУВАННЯМ</t>
  </si>
  <si>
    <t xml:space="preserve">РАЗОМ ВИДАТКИ </t>
  </si>
  <si>
    <t xml:space="preserve"> КРЕДИТУВАННЯ </t>
  </si>
  <si>
    <t xml:space="preserve">ВСЬОГО ВИДАТКІВ </t>
  </si>
  <si>
    <t xml:space="preserve">ФІНАНСУВАННЯ </t>
  </si>
  <si>
    <t>Дефіцит (-)/профіцит (+)</t>
  </si>
  <si>
    <t>Внутрішнє фінансування</t>
  </si>
  <si>
    <t>Фінансування за рахунок залишків коштів на рахунках бюджетних установ</t>
  </si>
  <si>
    <t>Фінансування за рахунок зміни залишків коштів бюджетів</t>
  </si>
  <si>
    <t>Разом коштів, отриманих з усіх джерел фінансування бюджету за типом кредитора</t>
  </si>
  <si>
    <t>Внутрішній борг</t>
  </si>
  <si>
    <t>Класифікація боргу за типом боргового зобов"язання</t>
  </si>
  <si>
    <t>Заборгованість за середньостроковими зобов"язаннями (позики за рахунок ресурсів єдиного казначейського рахунка)</t>
  </si>
  <si>
    <t>Реверсна дотація </t>
  </si>
  <si>
    <t>Відхилення, тис. грн.</t>
  </si>
  <si>
    <t>Темп зростання, %</t>
  </si>
  <si>
    <t>0100</t>
  </si>
  <si>
    <t>1000</t>
  </si>
  <si>
    <t>1010</t>
  </si>
  <si>
    <t>1020</t>
  </si>
  <si>
    <t>1030</t>
  </si>
  <si>
    <t>1090</t>
  </si>
  <si>
    <t>2000</t>
  </si>
  <si>
    <t>2010</t>
  </si>
  <si>
    <t>Багатопрофільна стаціонарна медична допомога населенню</t>
  </si>
  <si>
    <t>3000</t>
  </si>
  <si>
    <t>3030</t>
  </si>
  <si>
    <t>3031</t>
  </si>
  <si>
    <t>3033</t>
  </si>
  <si>
    <t>3034</t>
  </si>
  <si>
    <t>Надання пільг окремим категоріям громадян з оплати послуг зв'язку</t>
  </si>
  <si>
    <t>3035</t>
  </si>
  <si>
    <t>3036</t>
  </si>
  <si>
    <t>Компенсаційні виплати на пільговий проїзд електротранспортом окремим категоріям громадян</t>
  </si>
  <si>
    <t>3050</t>
  </si>
  <si>
    <t>3090</t>
  </si>
  <si>
    <t>3100</t>
  </si>
  <si>
    <t>3104</t>
  </si>
  <si>
    <t>3105</t>
  </si>
  <si>
    <t>3130</t>
  </si>
  <si>
    <t>3133</t>
  </si>
  <si>
    <t>3190</t>
  </si>
  <si>
    <t>3240</t>
  </si>
  <si>
    <t>Пільгове медичне обслуговування осіб, які постраждали внаслідок Чорнобильської катастрофи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</si>
  <si>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</si>
  <si>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Здійснення соціальної роботи з вразливими категоріями населення</t>
  </si>
  <si>
    <t>Заходи державної політики із забезпечення рівних прав та можливостей жінок та чоловіків</t>
  </si>
  <si>
    <t>Заходи державної політики з питань сім'ї</t>
  </si>
  <si>
    <t>Реалізація державної політики у молодіжній сфері</t>
  </si>
  <si>
    <t>Соціальний захист ветеранів війни та праці</t>
  </si>
  <si>
    <t>6000</t>
  </si>
  <si>
    <t>6010</t>
  </si>
  <si>
    <t>4000</t>
  </si>
  <si>
    <t>4060</t>
  </si>
  <si>
    <t>5000</t>
  </si>
  <si>
    <t>Проведення спортивної роботи в регіоні</t>
  </si>
  <si>
    <t>5010</t>
  </si>
  <si>
    <t>5011</t>
  </si>
  <si>
    <t>5012</t>
  </si>
  <si>
    <t>5030</t>
  </si>
  <si>
    <t>5031</t>
  </si>
  <si>
    <t>5032</t>
  </si>
  <si>
    <t>5033</t>
  </si>
  <si>
    <t>5040</t>
  </si>
  <si>
    <t>5041</t>
  </si>
  <si>
    <t>5060</t>
  </si>
  <si>
    <t>5062</t>
  </si>
  <si>
    <t>5063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</si>
  <si>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</si>
  <si>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</si>
  <si>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Проведення навчально-тренувальних зборів і змагань та заходів з інвалідного спорту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</si>
  <si>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</si>
  <si>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</si>
  <si>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Забезпечення підготовки спортсменів вищих категорій школами вищої спортивної майстерності</t>
  </si>
  <si>
    <t>Підтримка і розвиток спортивної інфраструктури</t>
  </si>
  <si>
    <t>Утримання комунальних спортивних споруд</t>
  </si>
  <si>
    <t>Інші заходи з розвитку фізичної культури та спорту</t>
  </si>
  <si>
    <t>Підтримка спорту вищих досягнень та організацій, які здійснюють фізкультурно-спортивну діяльність в регіоні</t>
  </si>
  <si>
    <t>Забезпечення діяльності централізованої бухгалтерії</t>
  </si>
  <si>
    <t>7300</t>
  </si>
  <si>
    <t>8000</t>
  </si>
  <si>
    <t>8120</t>
  </si>
  <si>
    <t>Забезпечення збору та вивезення сміття і відходів, надійної та безперебійної експлуатації каналізаційних систем</t>
  </si>
  <si>
    <t>Інші заходи у сфері електротранспорту</t>
  </si>
  <si>
    <t>7400</t>
  </si>
  <si>
    <t>Внески до статутного капіталу суб’єктів господарювання</t>
  </si>
  <si>
    <t>3160</t>
  </si>
  <si>
    <t>1160</t>
  </si>
  <si>
    <t>Заходи з енергозбереження</t>
  </si>
  <si>
    <t>Інші заходи, пов'язані з економічною діяльністю</t>
  </si>
  <si>
    <t>Сприяння розвитку малого та середнього підприємництва</t>
  </si>
  <si>
    <t>7600</t>
  </si>
  <si>
    <t>1150</t>
  </si>
  <si>
    <t>2030</t>
  </si>
  <si>
    <t>2080</t>
  </si>
  <si>
    <t>2100</t>
  </si>
  <si>
    <t>2110</t>
  </si>
  <si>
    <t>2111</t>
  </si>
  <si>
    <t>2150</t>
  </si>
  <si>
    <t>2152</t>
  </si>
  <si>
    <t>3120</t>
  </si>
  <si>
    <t>3121</t>
  </si>
  <si>
    <t>3122</t>
  </si>
  <si>
    <t>3170</t>
  </si>
  <si>
    <t>3171</t>
  </si>
  <si>
    <t>3191</t>
  </si>
  <si>
    <t>3192</t>
  </si>
  <si>
    <t>3210</t>
  </si>
  <si>
    <t>3241</t>
  </si>
  <si>
    <t>3242</t>
  </si>
  <si>
    <t>4030</t>
  </si>
  <si>
    <t>4080</t>
  </si>
  <si>
    <t>4081</t>
  </si>
  <si>
    <t>4082</t>
  </si>
  <si>
    <t>6011</t>
  </si>
  <si>
    <t>6014</t>
  </si>
  <si>
    <t>0160</t>
  </si>
  <si>
    <t xml:space="preserve">Забезпечення діяльності інших закладів у сфері освіти </t>
  </si>
  <si>
    <t>Інші програми та заходи у сфері освіти</t>
  </si>
  <si>
    <t>Лікарсько-акушерська допомога вагітним, породіллям та новонародженим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</si>
  <si>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</si>
  <si>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</si>
  <si>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 програми, заклади та заходи у сфері охорони здоров’я</t>
  </si>
  <si>
    <t>Інші програми та заходи у сфері охорони здоров’я</t>
  </si>
  <si>
    <t>Забезпечення діяльності бібліотек</t>
  </si>
  <si>
    <t>Інші заклади та заходи в галузі культури і мистецтва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</si>
  <si>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</si>
  <si>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</si>
  <si>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Утримання та ефективна експлуатація об’єктів житлово-комунального господарства</t>
  </si>
  <si>
    <t>Експлуатація та технічне обслуговування житлового фонду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</si>
  <si>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</si>
  <si>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</si>
  <si>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</si>
  <si>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Інша діяльність у сфері житлово-комунального господарства</t>
  </si>
  <si>
    <t xml:space="preserve">Реалізація державних та місцевих житлових програм </t>
  </si>
  <si>
    <t>Будівництво та регіональний розвиток</t>
  </si>
  <si>
    <t>Будівництво об'єктів житлово-комунального господарства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</si>
  <si>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</si>
  <si>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</si>
  <si>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</si>
  <si>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Будівництво об'єктів соціально-культурного призначення</t>
  </si>
  <si>
    <t>Транспорт та транспортна інфраструктура, дорожнє господарство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</si>
  <si>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</si>
  <si>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</si>
  <si>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7426</t>
  </si>
  <si>
    <t>Забезпечення надання послуг з перевезення пасажирів електротранспортом</t>
  </si>
  <si>
    <t>Інші послуги та заходи, пов'язані з економічною діяльністю</t>
  </si>
  <si>
    <t>7640</t>
  </si>
  <si>
    <t>7670</t>
  </si>
  <si>
    <t>Інша економічна діяльність</t>
  </si>
  <si>
    <t>7690</t>
  </si>
  <si>
    <t>7693</t>
  </si>
  <si>
    <t>7370</t>
  </si>
  <si>
    <t>Реалізація інших заходів щодо соціально-економічного розвитку територій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</si>
  <si>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</si>
  <si>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</si>
  <si>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</si>
  <si>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Заходи із запобігання та ліквідації надзвичайних ситуацій та наслідків стихійного лиха</t>
  </si>
  <si>
    <t>Заходи з організації рятування на водах</t>
  </si>
  <si>
    <t>8821</t>
  </si>
  <si>
    <t>8822</t>
  </si>
  <si>
    <t>8820</t>
  </si>
  <si>
    <t>Пільгові довгострокові кредити молодим сім’ям та одиноким молодим громадянам на будівництво/придбання житла  та їх повернення</t>
  </si>
  <si>
    <t>8200</t>
  </si>
  <si>
    <t>8220</t>
  </si>
  <si>
    <t>8230</t>
  </si>
  <si>
    <t>9110</t>
  </si>
  <si>
    <t>Інша діяльність</t>
  </si>
  <si>
    <t>Громадський порядок та безпека</t>
  </si>
  <si>
    <t>Інші заходи громадського порядку та безпеки</t>
  </si>
  <si>
    <t>Надання пільг з оплати послуг зв’язку,  інших передбачених законодавством пільг окремим категоріям громадян та компенсації за пільговий проїзд окремих категорій громадян</t>
  </si>
  <si>
    <t>3032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</si>
  <si>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</si>
  <si>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віку,особам з інвалідістю, дітям з інвалідністю в установах соціального обслуговування</t>
  </si>
  <si>
    <t>Надання реабілітаційних послуг особам з інвалідістю та дітям з інвалідністю</t>
  </si>
  <si>
    <t>3123</t>
  </si>
  <si>
    <t xml:space="preserve"> Інші заходи та заклади молодіжної політики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</si>
  <si>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</si>
  <si>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реалізації окремих програм для осіб з інвалідністю</t>
  </si>
  <si>
    <t>Заходи та роботи з мобілізаційної підготовки місцевого значення</t>
  </si>
  <si>
    <t>Інші заклади та заходи</t>
  </si>
  <si>
    <t xml:space="preserve"> Забезпечення діяльності інших закладів у сфері соціального захисту і соціального забезпечення</t>
  </si>
  <si>
    <t xml:space="preserve"> Інші заходи у сфері соціального захисту і соціального забезпечення</t>
  </si>
  <si>
    <t>Інші програми, заклади та заходи у сфері освіти</t>
  </si>
  <si>
    <t>7680</t>
  </si>
  <si>
    <t>8300</t>
  </si>
  <si>
    <t>8340</t>
  </si>
  <si>
    <t>Забезпечення діяльності палаців і будинків культури, клубів, центрів дозвілля та інших  клубних закладів</t>
  </si>
  <si>
    <t>Природоохоронні заходи за рахунок цільових фондів</t>
  </si>
  <si>
    <t xml:space="preserve">Охорона навколишнього природного середовища </t>
  </si>
  <si>
    <t>Інші субвенції з місцевого бюджету</t>
  </si>
  <si>
    <t>Членські внески до асоціацій органів місцевого самоврядування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</si>
  <si>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</si>
  <si>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7610</t>
  </si>
  <si>
    <t>9770</t>
  </si>
  <si>
    <t xml:space="preserve">Амбулаторно-поліклінічна допомога населенню, крім  первинної медичної допомоги </t>
  </si>
  <si>
    <t>Первинна медична допомога населенню</t>
  </si>
  <si>
    <t>Інша діяльність щодо забезпечення житлом громадян</t>
  </si>
  <si>
    <t>7650</t>
  </si>
  <si>
    <t>Проведення експертної  грошової  оцінки  земельної ділянки чи права на неї</t>
  </si>
  <si>
    <t>0180</t>
  </si>
  <si>
    <t>Інша діяльність у сфері державного управління</t>
  </si>
  <si>
    <t>Надання інших пільг окремим категоріям громадян відповідно до законодавства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</si>
  <si>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</si>
  <si>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</si>
  <si>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Забезпечення діяльності інклюзивно-ресурсних центрів</t>
  </si>
  <si>
    <t>Будівництво інших об'єктів комунальної власності</t>
  </si>
  <si>
    <t>Проектування, реставрація та охорона пам'яток архітектури</t>
  </si>
  <si>
    <t>Надання пільгових довгострокових кредитів молодим сім'ям та одиноким молодим громадянам на будівництво/придбання житла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</si>
  <si>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</si>
  <si>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Надання дошкільної  освіти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</si>
  <si>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</si>
  <si>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спеціальної освіти мистецькими школами</t>
  </si>
  <si>
    <t>Підготовка кадрів закладами професійної (професійно-технічної) освіти та іншими закладами освіти</t>
  </si>
  <si>
    <t>Організація та проведення громадських робіт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</si>
  <si>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</si>
  <si>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</si>
  <si>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1080</t>
  </si>
  <si>
    <t>7622</t>
  </si>
  <si>
    <t>Реалізація програм і заходів в галузі туризму та курортів</t>
  </si>
  <si>
    <t xml:space="preserve">Утримання та забезпечення діяльності центрів соціальних служб </t>
  </si>
  <si>
    <t>Надання загальної середньої освіти  за рахунок коштів місцевого бюджету</t>
  </si>
  <si>
    <t>Надання загальної середньої освіти закладами загальної середньої освіти</t>
  </si>
  <si>
    <t>1022</t>
  </si>
  <si>
    <t>1023</t>
  </si>
  <si>
    <t>Надання загальної середньої освіти  за рахунок освітньої субвенції</t>
  </si>
  <si>
    <t>1031</t>
  </si>
  <si>
    <t>1032</t>
  </si>
  <si>
    <t>1033</t>
  </si>
  <si>
    <t>1070</t>
  </si>
  <si>
    <t xml:space="preserve"> Надання позашкільної освіти закладами позашкільної освіти, заходи із позашкільної роботи з дітьми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</si>
  <si>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</si>
  <si>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</si>
  <si>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</si>
  <si>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1101</t>
  </si>
  <si>
    <t>1140</t>
  </si>
  <si>
    <t>1141</t>
  </si>
  <si>
    <t>1142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</si>
  <si>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</si>
  <si>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</si>
  <si>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</si>
  <si>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</si>
  <si>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Забезпечення діяльності центрів професійного розвитку педагогічних працівників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</si>
  <si>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</si>
  <si>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</si>
  <si>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Підготовка кадрів закладами професійної (професійно-технічної) освіти та іншими закладами освіти  за рахунок освітньої субвенції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</si>
  <si>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</si>
  <si>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</si>
  <si>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</si>
  <si>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</si>
  <si>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8700</t>
  </si>
  <si>
    <t>Резервний фонд</t>
  </si>
  <si>
    <t>8770</t>
  </si>
  <si>
    <t>Інші непередбачувані заходи за рахунок коштів резервного фонду місцевого бюджету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</si>
  <si>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</si>
  <si>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</si>
  <si>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</si>
  <si>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</si>
  <si>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</si>
  <si>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</si>
  <si>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</si>
  <si>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 xml:space="preserve">Податок на прибуток підприємств </t>
  </si>
  <si>
    <t>Податок на прибуток підприємств та фінансових  установ  комунальної власності</t>
  </si>
  <si>
    <t>Рентна плата та плата за використання інших природних ресурсів </t>
  </si>
  <si>
    <t>Внутрішні податки на товари та послуги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</si>
  <si>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</si>
  <si>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</si>
  <si>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</si>
  <si>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</si>
  <si>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</si>
  <si>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</si>
  <si>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</si>
  <si>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Акцизний податок з реалізації суб’єктами господарювання роздрібної торгівлі підакцизних товарів</t>
  </si>
  <si>
    <t xml:space="preserve">Місцеві податки та збори, що сплачуються (перераховуються) згідно з Податковим кодексом України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</si>
  <si>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</si>
  <si>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</si>
  <si>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</si>
  <si>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 xml:space="preserve"> Податок на нерухоме майно, відмінне від земельної ділянки, сплачений фізичними особами, які є власниками об'єктів нежитлової нерухомості</t>
  </si>
  <si>
    <t xml:space="preserve"> 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</si>
  <si>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 xml:space="preserve"> 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</si>
  <si>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</si>
  <si>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</si>
  <si>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</si>
  <si>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</si>
  <si>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</si>
  <si>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</si>
  <si>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</si>
  <si>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</si>
  <si>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 xml:space="preserve">Єдиний податок 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</si>
  <si>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</si>
  <si>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</si>
  <si>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</si>
  <si>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Екологічний податок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</si>
  <si>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</si>
  <si>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</si>
  <si>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</si>
  <si>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</si>
  <si>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 xml:space="preserve">Адміністративні збори та платежі, доходи від некомерційної господарської діяльності </t>
  </si>
  <si>
    <t>Плата за надання адміністративних послуг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</si>
  <si>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</si>
  <si>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</si>
  <si>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</si>
  <si>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</si>
  <si>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</si>
  <si>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</si>
  <si>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</si>
  <si>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</si>
  <si>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</si>
  <si>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
</t>
  </si>
  <si>
    <t>Відсотки за користування 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</si>
  <si>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Власні надходження бюджетних установ</t>
  </si>
  <si>
    <t>Доходи від операцій з капіталом</t>
  </si>
  <si>
    <t>Надходження від продажу основного капіталу</t>
  </si>
  <si>
    <t>Надходження коштів від Державного фонду дорогоцінних металів і дорогоцінного каміння</t>
  </si>
  <si>
    <t>Кошти від продажу землі</t>
  </si>
  <si>
    <t>РАЗОМ ДОХОДІВ</t>
  </si>
  <si>
    <t xml:space="preserve">Офіційні трансферти 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</si>
  <si>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</si>
  <si>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</si>
  <si>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</si>
  <si>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</si>
  <si>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</si>
  <si>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</si>
  <si>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</si>
  <si>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ВСЬОГО ДОХОДІВ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</si>
  <si>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</si>
  <si>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</si>
  <si>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3221</t>
  </si>
  <si>
    <t>3222</t>
  </si>
  <si>
    <t>3110</t>
  </si>
  <si>
    <t>Заклади і заходи з питань дітей та їх соціального захисту</t>
  </si>
  <si>
    <t>1060</t>
  </si>
  <si>
    <t>1161</t>
  </si>
  <si>
    <t>1162</t>
  </si>
  <si>
    <t>1021</t>
  </si>
  <si>
    <t>Усього</t>
  </si>
  <si>
    <t>Зовнішній борг</t>
  </si>
  <si>
    <t>Заборгованість за довгостроковими  зобов"язаннями (позики банків та фінансових установ)</t>
  </si>
  <si>
    <t>Кошти гарантійного та реєстраційного внесків, що визначені Законом України "Про оренду державного та комунального майна", які підлягають перерахуванню оператором електронного майданчика до відповідного бюджету</t>
  </si>
  <si>
    <t>8600</t>
  </si>
  <si>
    <t>Обслуговування місцевого боргу</t>
  </si>
  <si>
    <t>Зовнішнє фінансування</t>
  </si>
  <si>
    <t>в 2,1 р.б.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</si>
  <si>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</si>
  <si>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</si>
  <si>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7380</t>
  </si>
  <si>
    <t>Виконання інвестиційних проектів за рахунок інших субвенцій з державного бюджету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</si>
  <si>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</si>
  <si>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в 2,5 р.б.</t>
  </si>
  <si>
    <t>до пояснювальної записки</t>
  </si>
  <si>
    <t>Додаток 2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</si>
  <si>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</si>
  <si>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8240</t>
  </si>
  <si>
    <t>8775</t>
  </si>
  <si>
    <t>Сільське, лісове, рибне господарство та мисливство</t>
  </si>
  <si>
    <t>7100</t>
  </si>
  <si>
    <t>7130</t>
  </si>
  <si>
    <t>Здійснення  заходів із землеустрою</t>
  </si>
  <si>
    <t>Заходи та роботи з територіальної оборони</t>
  </si>
  <si>
    <t xml:space="preserve"> Інші заходи за рахунок коштів резервного фонду місцевого бюджету</t>
  </si>
  <si>
    <t>7000</t>
  </si>
  <si>
    <t xml:space="preserve"> Економічна діяльність</t>
  </si>
  <si>
    <t>в 2,9 р.б.</t>
  </si>
  <si>
    <t>Заходи із запобігання та ліквідації наслідків у будівлі установ, закладів, організацій комунальної власності за рахунок коштів резервного фонду місцевого бюджету</t>
  </si>
  <si>
    <t>8720</t>
  </si>
  <si>
    <t>Заходи із запобігання та ліквідації наслідків надзвичайних ситуацій у житлово-комунальному господарстві за рахунок коштів резервного фонду місцевого бюджету</t>
  </si>
  <si>
    <t>8740</t>
  </si>
  <si>
    <t>в 3,8 р.б.</t>
  </si>
  <si>
    <t>в 2,2 р.б.</t>
  </si>
  <si>
    <t>Дотації з державного бюджету місцевим бюджетам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</si>
  <si>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</t>
  </si>
  <si>
    <t>Інші дотації з місцевого бюджету</t>
  </si>
  <si>
    <t>Темп зростання/ уповільнення, %</t>
  </si>
  <si>
    <t>в 5,2 р.б.</t>
  </si>
  <si>
    <t>Відхилення, тис. грн</t>
  </si>
  <si>
    <t>в 2,3 р.б.</t>
  </si>
  <si>
    <t>ВИДАТКОВА ЧАСТИНА ТА КРЕДИТУВАННЯ  БЮДЖЕТУ МИКОЛАЇВСЬКОЇ МІСЬКОЇ ТЕРИТОРІАЛЬНОЇ ГРОМАДИ</t>
  </si>
  <si>
    <t>ДОХІДНА ЧАСТИНА БЮДЖЕТУ МИКОЛАЇВСЬКОЇ МІСЬКОЇ ТЕРИТОРІАЛЬНОЇ ГРОМАДИ</t>
  </si>
  <si>
    <t>ІНФОРМАЦІЯ ПРО СТАН МІСЦЕВОГО БОРГУ БЮДЖЕТУ МИКОЛАЇВСЬКОЇ МІСЬКОЇ ТЕРИТОРІАЛЬНОЇ ГРОМАДИ</t>
  </si>
  <si>
    <t>Інформація про виконання бюджету  Миколаївської міської територіальної громади  за  2023 рік  (з динамікою змін порівняно за 2022 рік)</t>
  </si>
  <si>
    <t>Виконано за  2022 рік, тис. грн</t>
  </si>
  <si>
    <t>Виконано за  2023 рік, тис. грн</t>
  </si>
  <si>
    <t>в 2,7 р.б.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</si>
  <si>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</si>
  <si>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зобов'язання, що підлягає сплаті фізичними особами</t>
  </si>
  <si>
    <t>в 2,8 р.б.</t>
  </si>
  <si>
    <t>в 1,7 р.б.</t>
  </si>
  <si>
    <t>в 3,3 р.б.</t>
  </si>
  <si>
    <t>в 1,6 р.б.</t>
  </si>
  <si>
    <t>в 3,5 р.б.</t>
  </si>
  <si>
    <t>в 6,6 р.б.</t>
  </si>
  <si>
    <t>в 15,3 р.б.</t>
  </si>
  <si>
    <t>в 4,1 р.б.</t>
  </si>
  <si>
    <t>в 7,7 р.б.</t>
  </si>
  <si>
    <t>Інші податки та збори</t>
  </si>
  <si>
    <t>Надходження від сплати збору за забруднення навколишнього природного середовища фізичними особами  </t>
  </si>
  <si>
    <t>Податки та збори, не віднесені до інших категорій</t>
  </si>
  <si>
    <t>Штрафні санкції, що застосовуються відповідно до Закону України "Про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пального"</t>
  </si>
  <si>
    <t>в 5,9 р.б.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</si>
  <si>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</si>
  <si>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в 5,4 р.б.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</si>
  <si>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</si>
  <si>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в 2,6 р.б.</t>
  </si>
  <si>
    <t>Надходження від орендної плати за користування майновим комплексом та іншим майном, що перебуває в комунальній власності</t>
  </si>
  <si>
    <t>в 3,1 р.б.</t>
  </si>
  <si>
    <t>в 1,9 р.б.</t>
  </si>
  <si>
    <t>в 3,9 р.б.</t>
  </si>
  <si>
    <t>Плата за гарантії, надані Верховною Радою Автономної Республіки Крим, міськими та обласними радами</t>
  </si>
  <si>
    <t>Надходження коштів пайової участі у розвитку інфраструктури населеного пункту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</si>
  <si>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</si>
  <si>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</si>
  <si>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</si>
  <si>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</si>
  <si>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41030000</t>
  </si>
  <si>
    <t>41031700</t>
  </si>
  <si>
    <t>Субвенція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</si>
  <si>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41033900</t>
  </si>
  <si>
    <t>41040000</t>
  </si>
  <si>
    <t>Дотації з місцевих бюджетів іншим місцевим бюджетам</t>
  </si>
  <si>
    <t>в 3,4 р.б.</t>
  </si>
  <si>
    <t>41040400</t>
  </si>
  <si>
    <t>41050000</t>
  </si>
  <si>
    <t>в 10,4 р.б.</t>
  </si>
  <si>
    <t>41050400</t>
  </si>
  <si>
    <t>Субвенція з місцевого бюджету на виплату грошової компенсації за належні для отримання жилі приміщення для сімей осіб, визначених пунктами 2 - 5 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</si>
  <si>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 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</si>
  <si>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</si>
  <si>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пунктів 11 - 14 частини другої статті 7 або учасниками бойових дій відповідно до пунктів 19 - 21 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</si>
  <si>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41051000</t>
  </si>
  <si>
    <t>41057700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</si>
  <si>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</si>
  <si>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в 5,1 р.б.</t>
  </si>
  <si>
    <t>в 14,1 р.б.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</si>
  <si>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</si>
  <si>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</si>
  <si>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в 10,1 р.б.</t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</si>
  <si>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</si>
  <si>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</si>
  <si>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</si>
  <si>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</si>
  <si>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Надання загальної середньої освіти  за рахунок залишку коштів за освітньою субвенцією (крім залишку коштів, що мають цільове призначенн,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</si>
  <si>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в 289 р.б.</t>
  </si>
  <si>
    <t>Підготовка кадрів закладами фахової передвищої освіти за рахунок коштів місцевого бюджету</t>
  </si>
  <si>
    <t>в 243 р.б.</t>
  </si>
  <si>
    <t>1102</t>
  </si>
  <si>
    <t>Підготовка кадрів закладами фахової передвищої освіти за рахунок освітньої субвенції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</si>
  <si>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</si>
  <si>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</si>
  <si>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в 3,0  р.б.</t>
  </si>
  <si>
    <t>в 10,4  р.б.</t>
  </si>
  <si>
    <t>в 3,5  р.б.</t>
  </si>
  <si>
    <t>Інші видатки на соціальний захист ветеранів війни та праці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</si>
  <si>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</si>
  <si>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 xml:space="preserve"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
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</si>
  <si>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</si>
  <si>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в 9,1 р.б.</t>
  </si>
  <si>
    <t>в 11,9 р.б.</t>
  </si>
  <si>
    <t>в 4,6 р.б.</t>
  </si>
  <si>
    <t>в 22,0 р.б.</t>
  </si>
  <si>
    <t>в 22,4 р.б.</t>
  </si>
  <si>
    <t>в 2,0 р.б.</t>
  </si>
  <si>
    <t>в 10,2 р.б.</t>
  </si>
  <si>
    <t>5049</t>
  </si>
  <si>
    <t>Виконання окремих заходів з реалізації соціального проекту «Активні парки – локації здорової України»</t>
  </si>
  <si>
    <t>в 165,9 р.б.</t>
  </si>
  <si>
    <t>в 610,7 р.б.</t>
  </si>
  <si>
    <t>в 57,0 р.б.</t>
  </si>
  <si>
    <t>Заходи, пов'язані з поліпшенням питної води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</si>
  <si>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</si>
  <si>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в 2,4 р.б.</t>
  </si>
  <si>
    <t>в 57038,3 р.б.</t>
  </si>
  <si>
    <t>в 408 р.б.</t>
  </si>
  <si>
    <t>в 79,5 р.б.</t>
  </si>
  <si>
    <t>в 220,7 р.б.</t>
  </si>
  <si>
    <t xml:space="preserve"> в 1,6 р.б.</t>
  </si>
  <si>
    <t>в 8,1 р.б.</t>
  </si>
  <si>
    <t>в 8,0 р.б.</t>
  </si>
  <si>
    <t>в 13,8 р.б.</t>
  </si>
  <si>
    <t>станом на 01  січня 2023 року, тис. грн.</t>
  </si>
  <si>
    <t>станом на 01 січня 2024 року, тис. грн.</t>
  </si>
  <si>
    <t>в 4,0 р.б.</t>
  </si>
  <si>
    <t>в 13,2 р.б.</t>
  </si>
  <si>
    <t>в 4,2 р.б.</t>
  </si>
  <si>
    <t>в 20,8 р.б.</t>
  </si>
  <si>
    <t>в 1,8 р.б.</t>
  </si>
  <si>
    <t>в 3,0 р.б.</t>
  </si>
  <si>
    <t>в 11,1 р.б.</t>
  </si>
  <si>
    <t>в 4,7 р.б.</t>
  </si>
  <si>
    <t>в 50,7 р.б.</t>
  </si>
  <si>
    <t>в 50,7р.б.</t>
  </si>
  <si>
    <t>0170</t>
  </si>
  <si>
    <t>Підвищення кваліфікації депутатів місцевих рад та посадових осіб місцевого самоврядування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</si>
</sst>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"/>
    <numFmt numFmtId="166" formatCode="0.0_)"/>
    <numFmt numFmtId="167" formatCode="#,##0.000"/>
    <numFmt numFmtId="168" formatCode="#,##0.0"/>
    <numFmt numFmtId="169" formatCode="#,##0.000;\-#,##0.000"/>
  </numFmts>
  <fonts count="20"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 Cyr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i/>
      <sz val="11"/>
      <name val="Arial Cyr"/>
      <charset val="204"/>
    </font>
    <font>
      <b/>
      <sz val="14"/>
      <name val="Arial Cyr"/>
      <charset val="204"/>
    </font>
    <font>
      <sz val="14"/>
      <color rgb="FF333333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right"/>
    </xf>
    <xf numFmtId="167" fontId="3" fillId="0" borderId="0" xfId="0" applyNumberFormat="1" applyFont="1" applyFill="1"/>
    <xf numFmtId="167" fontId="6" fillId="0" borderId="0" xfId="0" applyNumberFormat="1" applyFont="1" applyFill="1"/>
    <xf numFmtId="165" fontId="6" fillId="0" borderId="0" xfId="0" applyNumberFormat="1" applyFont="1" applyFill="1" applyAlignment="1">
      <alignment horizontal="right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right"/>
    </xf>
    <xf numFmtId="167" fontId="6" fillId="0" borderId="1" xfId="0" applyNumberFormat="1" applyFont="1" applyFill="1" applyBorder="1" applyAlignment="1">
      <alignment horizontal="right" vertical="center"/>
    </xf>
    <xf numFmtId="167" fontId="6" fillId="0" borderId="1" xfId="0" applyNumberFormat="1" applyFont="1" applyFill="1" applyBorder="1" applyAlignment="1" applyProtection="1">
      <alignment horizontal="right" vertical="center" wrapText="1"/>
    </xf>
    <xf numFmtId="168" fontId="6" fillId="0" borderId="1" xfId="0" applyNumberFormat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right" vertical="top"/>
      <protection locked="0"/>
    </xf>
    <xf numFmtId="166" fontId="5" fillId="0" borderId="1" xfId="0" applyNumberFormat="1" applyFont="1" applyFill="1" applyBorder="1" applyAlignment="1" applyProtection="1">
      <alignment horizontal="left" vertical="top" wrapText="1"/>
    </xf>
    <xf numFmtId="49" fontId="6" fillId="0" borderId="1" xfId="0" applyNumberFormat="1" applyFont="1" applyFill="1" applyBorder="1" applyAlignment="1" applyProtection="1">
      <alignment horizontal="right" vertical="top"/>
      <protection locked="0"/>
    </xf>
    <xf numFmtId="0" fontId="6" fillId="0" borderId="1" xfId="0" applyNumberFormat="1" applyFont="1" applyFill="1" applyBorder="1" applyAlignment="1" applyProtection="1">
      <alignment vertical="top" wrapText="1"/>
    </xf>
    <xf numFmtId="165" fontId="6" fillId="0" borderId="1" xfId="0" applyNumberFormat="1" applyFont="1" applyFill="1" applyBorder="1" applyAlignment="1">
      <alignment horizontal="right" vertical="center" wrapText="1"/>
    </xf>
    <xf numFmtId="166" fontId="6" fillId="0" borderId="1" xfId="0" applyNumberFormat="1" applyFont="1" applyFill="1" applyBorder="1" applyAlignment="1" applyProtection="1">
      <alignment horizontal="left" vertical="top" wrapText="1"/>
      <protection locked="0"/>
    </xf>
    <xf numFmtId="166" fontId="6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horizontal="left" vertical="top" wrapText="1"/>
    </xf>
    <xf numFmtId="49" fontId="6" fillId="0" borderId="1" xfId="0" applyNumberFormat="1" applyFont="1" applyFill="1" applyBorder="1" applyAlignment="1" applyProtection="1">
      <alignment horizontal="righ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 applyProtection="1">
      <alignment horizontal="right" vertical="top"/>
    </xf>
    <xf numFmtId="168" fontId="7" fillId="0" borderId="1" xfId="0" applyNumberFormat="1" applyFont="1" applyFill="1" applyBorder="1" applyAlignment="1" applyProtection="1">
      <alignment horizontal="right" vertical="center" wrapText="1"/>
    </xf>
    <xf numFmtId="167" fontId="7" fillId="0" borderId="1" xfId="0" applyNumberFormat="1" applyFont="1" applyFill="1" applyBorder="1" applyAlignment="1" applyProtection="1">
      <alignment horizontal="right" vertical="center" wrapText="1"/>
    </xf>
    <xf numFmtId="165" fontId="7" fillId="0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right" vertical="center"/>
      <protection locked="0"/>
    </xf>
    <xf numFmtId="166" fontId="6" fillId="0" borderId="1" xfId="0" applyNumberFormat="1" applyFont="1" applyFill="1" applyBorder="1" applyAlignment="1" applyProtection="1">
      <alignment horizontal="left" vertical="center" wrapText="1"/>
      <protection locked="0"/>
    </xf>
    <xf numFmtId="2" fontId="6" fillId="0" borderId="1" xfId="0" applyNumberFormat="1" applyFont="1" applyFill="1" applyBorder="1" applyAlignment="1">
      <alignment wrapText="1"/>
    </xf>
    <xf numFmtId="167" fontId="12" fillId="0" borderId="1" xfId="0" applyNumberFormat="1" applyFont="1" applyFill="1" applyBorder="1" applyAlignment="1">
      <alignment horizontal="right" vertical="center"/>
    </xf>
    <xf numFmtId="0" fontId="15" fillId="0" borderId="0" xfId="0" applyFont="1" applyFill="1"/>
    <xf numFmtId="166" fontId="6" fillId="0" borderId="1" xfId="0" applyNumberFormat="1" applyFont="1" applyFill="1" applyBorder="1" applyAlignment="1" applyProtection="1">
      <alignment horizontal="left" wrapText="1"/>
      <protection locked="0"/>
    </xf>
    <xf numFmtId="167" fontId="12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167" fontId="6" fillId="0" borderId="1" xfId="0" applyNumberFormat="1" applyFont="1" applyFill="1" applyBorder="1" applyAlignment="1" applyProtection="1">
      <alignment horizontal="right" vertical="center"/>
    </xf>
    <xf numFmtId="164" fontId="6" fillId="0" borderId="1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right" vertical="center"/>
      <protection locked="0"/>
    </xf>
    <xf numFmtId="164" fontId="6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 applyProtection="1">
      <alignment horizontal="right" vertical="top"/>
      <protection locked="0"/>
    </xf>
    <xf numFmtId="0" fontId="7" fillId="0" borderId="1" xfId="0" applyFont="1" applyFill="1" applyBorder="1" applyAlignment="1">
      <alignment vertical="center" wrapText="1"/>
    </xf>
    <xf numFmtId="167" fontId="7" fillId="0" borderId="1" xfId="0" applyNumberFormat="1" applyFont="1" applyFill="1" applyBorder="1" applyAlignment="1">
      <alignment horizontal="right" vertical="center"/>
    </xf>
    <xf numFmtId="167" fontId="6" fillId="0" borderId="1" xfId="0" applyNumberFormat="1" applyFont="1" applyFill="1" applyBorder="1" applyAlignment="1" applyProtection="1">
      <alignment horizontal="right"/>
    </xf>
    <xf numFmtId="167" fontId="6" fillId="0" borderId="1" xfId="0" applyNumberFormat="1" applyFont="1" applyFill="1" applyBorder="1" applyAlignment="1"/>
    <xf numFmtId="166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Alignment="1">
      <alignment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right" vertical="center"/>
      <protection locked="0"/>
    </xf>
    <xf numFmtId="167" fontId="7" fillId="0" borderId="1" xfId="0" applyNumberFormat="1" applyFont="1" applyFill="1" applyBorder="1" applyAlignment="1" applyProtection="1">
      <alignment horizontal="right" vertical="center"/>
    </xf>
    <xf numFmtId="167" fontId="6" fillId="0" borderId="1" xfId="0" applyNumberFormat="1" applyFont="1" applyFill="1" applyBorder="1"/>
    <xf numFmtId="49" fontId="10" fillId="0" borderId="1" xfId="0" applyNumberFormat="1" applyFont="1" applyFill="1" applyBorder="1" applyAlignment="1" applyProtection="1">
      <alignment horizontal="right" vertical="center"/>
      <protection locked="0"/>
    </xf>
    <xf numFmtId="167" fontId="6" fillId="0" borderId="1" xfId="0" applyNumberFormat="1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167" fontId="7" fillId="0" borderId="1" xfId="0" applyNumberFormat="1" applyFont="1" applyFill="1" applyBorder="1" applyAlignment="1">
      <alignment vertical="center"/>
    </xf>
    <xf numFmtId="0" fontId="16" fillId="0" borderId="0" xfId="0" applyFont="1" applyFill="1"/>
    <xf numFmtId="0" fontId="11" fillId="0" borderId="0" xfId="0" applyFont="1" applyFill="1"/>
    <xf numFmtId="167" fontId="6" fillId="0" borderId="1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0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7" fillId="0" borderId="0" xfId="0" applyFont="1" applyFill="1"/>
    <xf numFmtId="0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right" vertical="center"/>
    </xf>
    <xf numFmtId="167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top"/>
    </xf>
    <xf numFmtId="0" fontId="6" fillId="0" borderId="1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horizontal="left" wrapText="1"/>
    </xf>
    <xf numFmtId="168" fontId="6" fillId="0" borderId="0" xfId="0" applyNumberFormat="1" applyFont="1" applyFill="1" applyBorder="1" applyAlignment="1" applyProtection="1">
      <alignment horizontal="right" vertical="center" wrapText="1"/>
    </xf>
    <xf numFmtId="167" fontId="2" fillId="0" borderId="0" xfId="0" applyNumberFormat="1" applyFont="1" applyFill="1"/>
    <xf numFmtId="167" fontId="7" fillId="0" borderId="1" xfId="0" applyNumberFormat="1" applyFont="1" applyFill="1" applyBorder="1" applyAlignment="1"/>
    <xf numFmtId="167" fontId="7" fillId="0" borderId="1" xfId="0" applyNumberFormat="1" applyFont="1" applyFill="1" applyBorder="1"/>
    <xf numFmtId="165" fontId="6" fillId="0" borderId="1" xfId="0" applyNumberFormat="1" applyFont="1" applyFill="1" applyBorder="1" applyAlignment="1">
      <alignment horizontal="right"/>
    </xf>
    <xf numFmtId="167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 applyProtection="1">
      <alignment vertical="center" wrapText="1"/>
    </xf>
    <xf numFmtId="0" fontId="17" fillId="0" borderId="0" xfId="0" applyFont="1" applyFill="1"/>
    <xf numFmtId="169" fontId="18" fillId="0" borderId="2" xfId="0" applyNumberFormat="1" applyFont="1" applyFill="1" applyBorder="1" applyAlignment="1">
      <alignment horizontal="right" vertical="center" wrapText="1"/>
    </xf>
    <xf numFmtId="169" fontId="18" fillId="0" borderId="0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167" fontId="7" fillId="2" borderId="1" xfId="0" applyNumberFormat="1" applyFont="1" applyFill="1" applyBorder="1" applyAlignment="1" applyProtection="1">
      <alignment horizontal="right" vertical="center" wrapText="1"/>
    </xf>
    <xf numFmtId="165" fontId="6" fillId="2" borderId="1" xfId="0" applyNumberFormat="1" applyFont="1" applyFill="1" applyBorder="1" applyAlignment="1" applyProtection="1">
      <alignment horizontal="right" vertical="center" wrapText="1"/>
    </xf>
    <xf numFmtId="168" fontId="7" fillId="2" borderId="1" xfId="0" applyNumberFormat="1" applyFont="1" applyFill="1" applyBorder="1" applyAlignment="1" applyProtection="1">
      <alignment horizontal="right" vertical="center" wrapText="1"/>
    </xf>
    <xf numFmtId="0" fontId="6" fillId="2" borderId="1" xfId="0" applyNumberFormat="1" applyFont="1" applyFill="1" applyBorder="1" applyAlignment="1" applyProtection="1">
      <alignment vertical="center" wrapText="1"/>
    </xf>
    <xf numFmtId="167" fontId="6" fillId="2" borderId="1" xfId="0" applyNumberFormat="1" applyFont="1" applyFill="1" applyBorder="1" applyAlignment="1">
      <alignment horizontal="right" vertical="center"/>
    </xf>
    <xf numFmtId="167" fontId="6" fillId="2" borderId="1" xfId="0" applyNumberFormat="1" applyFont="1" applyFill="1" applyBorder="1" applyAlignment="1" applyProtection="1">
      <alignment horizontal="right" vertical="center" wrapText="1"/>
    </xf>
    <xf numFmtId="164" fontId="6" fillId="2" borderId="1" xfId="0" applyNumberFormat="1" applyFont="1" applyFill="1" applyBorder="1" applyAlignment="1" applyProtection="1">
      <alignment horizontal="right" vertical="center" wrapText="1"/>
    </xf>
    <xf numFmtId="167" fontId="6" fillId="2" borderId="1" xfId="0" applyNumberFormat="1" applyFont="1" applyFill="1" applyBorder="1" applyAlignment="1">
      <alignment horizontal="right" vertical="center" wrapText="1"/>
    </xf>
    <xf numFmtId="168" fontId="6" fillId="2" borderId="1" xfId="0" applyNumberFormat="1" applyFont="1" applyFill="1" applyBorder="1" applyAlignment="1" applyProtection="1">
      <alignment horizontal="right" vertical="center" wrapText="1"/>
    </xf>
    <xf numFmtId="166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67" fontId="12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right" vertical="top"/>
      <protection locked="0"/>
    </xf>
    <xf numFmtId="166" fontId="6" fillId="2" borderId="1" xfId="0" applyNumberFormat="1" applyFont="1" applyFill="1" applyBorder="1" applyAlignment="1" applyProtection="1">
      <alignment horizontal="left" vertical="top" wrapText="1"/>
      <protection locked="0"/>
    </xf>
    <xf numFmtId="49" fontId="7" fillId="2" borderId="1" xfId="0" applyNumberFormat="1" applyFont="1" applyFill="1" applyBorder="1" applyAlignment="1" applyProtection="1">
      <alignment horizontal="right" vertical="center"/>
      <protection locked="0"/>
    </xf>
    <xf numFmtId="0" fontId="6" fillId="2" borderId="1" xfId="0" applyNumberFormat="1" applyFont="1" applyFill="1" applyBorder="1" applyAlignment="1" applyProtection="1">
      <alignment horizontal="right" vertical="center" wrapText="1"/>
    </xf>
    <xf numFmtId="49" fontId="6" fillId="2" borderId="1" xfId="0" applyNumberFormat="1" applyFont="1" applyFill="1" applyBorder="1" applyAlignment="1" applyProtection="1">
      <alignment horizontal="right" vertical="center" wrapText="1"/>
    </xf>
    <xf numFmtId="49" fontId="5" fillId="2" borderId="1" xfId="0" applyNumberFormat="1" applyFont="1" applyFill="1" applyBorder="1" applyAlignment="1" applyProtection="1">
      <alignment horizontal="right" wrapText="1"/>
      <protection locked="0"/>
    </xf>
    <xf numFmtId="0" fontId="5" fillId="2" borderId="1" xfId="0" applyFont="1" applyFill="1" applyBorder="1" applyAlignment="1">
      <alignment wrapText="1"/>
    </xf>
    <xf numFmtId="167" fontId="7" fillId="2" borderId="1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 applyProtection="1">
      <alignment horizontal="right" wrapText="1"/>
      <protection locked="0"/>
    </xf>
    <xf numFmtId="0" fontId="6" fillId="2" borderId="1" xfId="0" applyFont="1" applyFill="1" applyBorder="1" applyAlignment="1">
      <alignment wrapText="1"/>
    </xf>
    <xf numFmtId="167" fontId="6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/>
    <xf numFmtId="167" fontId="6" fillId="2" borderId="1" xfId="0" applyNumberFormat="1" applyFont="1" applyFill="1" applyBorder="1"/>
    <xf numFmtId="0" fontId="6" fillId="2" borderId="1" xfId="0" applyFont="1" applyFill="1" applyBorder="1" applyAlignment="1">
      <alignment horizontal="justify" wrapText="1"/>
    </xf>
    <xf numFmtId="49" fontId="5" fillId="2" borderId="1" xfId="0" applyNumberFormat="1" applyFont="1" applyFill="1" applyBorder="1" applyAlignment="1" applyProtection="1">
      <alignment horizontal="right" vertical="center"/>
      <protection locked="0"/>
    </xf>
    <xf numFmtId="49" fontId="7" fillId="2" borderId="1" xfId="0" applyNumberFormat="1" applyFont="1" applyFill="1" applyBorder="1" applyAlignment="1" applyProtection="1">
      <alignment horizontal="right" wrapText="1"/>
      <protection locked="0"/>
    </xf>
    <xf numFmtId="165" fontId="7" fillId="2" borderId="1" xfId="0" applyNumberFormat="1" applyFont="1" applyFill="1" applyBorder="1" applyAlignment="1" applyProtection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top"/>
    </xf>
    <xf numFmtId="164" fontId="7" fillId="0" borderId="1" xfId="0" applyNumberFormat="1" applyFont="1" applyFill="1" applyBorder="1" applyAlignment="1">
      <alignment horizontal="right" vertical="center"/>
    </xf>
    <xf numFmtId="0" fontId="18" fillId="3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right" vertical="top"/>
    </xf>
    <xf numFmtId="0" fontId="6" fillId="2" borderId="1" xfId="0" applyNumberFormat="1" applyFont="1" applyFill="1" applyBorder="1" applyAlignment="1">
      <alignment vertical="top" wrapText="1"/>
    </xf>
    <xf numFmtId="167" fontId="6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 applyProtection="1">
      <alignment horizontal="right" vertical="top"/>
      <protection locked="0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167" fontId="7" fillId="0" borderId="1" xfId="0" applyNumberFormat="1" applyFont="1" applyFill="1" applyBorder="1" applyAlignment="1">
      <alignment horizontal="right" vertical="center" wrapText="1"/>
    </xf>
    <xf numFmtId="167" fontId="5" fillId="0" borderId="1" xfId="0" applyNumberFormat="1" applyFont="1" applyFill="1" applyBorder="1" applyAlignment="1"/>
    <xf numFmtId="167" fontId="5" fillId="0" borderId="1" xfId="0" applyNumberFormat="1" applyFont="1" applyFill="1" applyBorder="1" applyAlignment="1" applyProtection="1">
      <alignment horizontal="right" vertical="center" wrapText="1"/>
    </xf>
    <xf numFmtId="168" fontId="5" fillId="0" borderId="1" xfId="0" applyNumberFormat="1" applyFont="1" applyFill="1" applyBorder="1" applyAlignment="1" applyProtection="1">
      <alignment horizontal="right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NumberFormat="1" applyFont="1" applyFill="1" applyBorder="1" applyAlignment="1">
      <alignment horizontal="left" vertical="center" wrapText="1" shrinkToFit="1"/>
    </xf>
    <xf numFmtId="0" fontId="6" fillId="0" borderId="0" xfId="0" applyFont="1" applyFill="1" applyAlignment="1">
      <alignment vertical="center" wrapText="1" shrinkToFit="1"/>
    </xf>
    <xf numFmtId="0" fontId="6" fillId="0" borderId="1" xfId="0" applyNumberFormat="1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vertical="center" wrapText="1" shrinkToFit="1"/>
    </xf>
    <xf numFmtId="0" fontId="19" fillId="2" borderId="1" xfId="0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165" fontId="13" fillId="0" borderId="0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285"/>
  <sheetViews>
    <sheetView tabSelected="1" topLeftCell="A70" zoomScale="75" zoomScaleNormal="75" zoomScaleSheetLayoutView="75" workbookViewId="0">
      <selection activeCell="F84" sqref="F84"/>
    </sheetView>
  </sheetViews>
  <sheetFormatPr defaultColWidth="9.140625" defaultRowHeight="18.75"/>
  <cols>
    <col min="1" max="1" width="19.5703125" style="2" customWidth="1"/>
    <col min="2" max="2" width="118" style="69" customWidth="1"/>
    <col min="3" max="3" width="18.42578125" style="3" customWidth="1"/>
    <col min="4" max="4" width="20" style="3" customWidth="1"/>
    <col min="5" max="5" width="20.140625" style="4" customWidth="1"/>
    <col min="6" max="6" width="19.5703125" style="5" customWidth="1"/>
    <col min="7" max="7" width="20.5703125" style="3" customWidth="1"/>
    <col min="8" max="8" width="19.5703125" style="3" customWidth="1"/>
    <col min="9" max="9" width="20.5703125" style="3" customWidth="1"/>
    <col min="10" max="10" width="18.7109375" style="10" customWidth="1"/>
    <col min="11" max="11" width="11" style="1" bestFit="1" customWidth="1"/>
    <col min="12" max="13" width="14.42578125" style="1" bestFit="1" customWidth="1"/>
    <col min="14" max="16384" width="9.140625" style="1"/>
  </cols>
  <sheetData>
    <row r="1" spans="1:10">
      <c r="H1" s="94" t="s">
        <v>366</v>
      </c>
      <c r="I1" s="94"/>
      <c r="J1" s="94"/>
    </row>
    <row r="2" spans="1:10" ht="22.5" customHeight="1">
      <c r="H2" s="167" t="s">
        <v>365</v>
      </c>
      <c r="I2" s="167"/>
      <c r="J2" s="94"/>
    </row>
    <row r="4" spans="1:10" ht="33.75" customHeight="1">
      <c r="A4" s="168" t="s">
        <v>395</v>
      </c>
      <c r="B4" s="168"/>
      <c r="C4" s="168"/>
      <c r="D4" s="168"/>
      <c r="E4" s="168"/>
      <c r="F4" s="168"/>
      <c r="G4" s="168"/>
      <c r="H4" s="168"/>
      <c r="I4" s="168"/>
      <c r="J4" s="168"/>
    </row>
    <row r="5" spans="1:10" ht="28.5" customHeight="1">
      <c r="A5" s="7"/>
      <c r="B5" s="7"/>
      <c r="C5" s="7"/>
      <c r="D5" s="7"/>
      <c r="E5" s="8"/>
      <c r="F5" s="8"/>
      <c r="G5" s="7"/>
      <c r="H5" s="7"/>
      <c r="I5" s="7"/>
      <c r="J5" s="9"/>
    </row>
    <row r="6" spans="1:10" ht="21" customHeight="1">
      <c r="A6" s="181" t="s">
        <v>2</v>
      </c>
      <c r="B6" s="181" t="s">
        <v>3</v>
      </c>
      <c r="C6" s="178" t="s">
        <v>0</v>
      </c>
      <c r="D6" s="179"/>
      <c r="E6" s="179"/>
      <c r="F6" s="180"/>
      <c r="G6" s="178" t="s">
        <v>1</v>
      </c>
      <c r="H6" s="179"/>
      <c r="I6" s="179"/>
      <c r="J6" s="180"/>
    </row>
    <row r="7" spans="1:10" s="6" customFormat="1" ht="83.25" customHeight="1">
      <c r="A7" s="182"/>
      <c r="B7" s="182"/>
      <c r="C7" s="100" t="s">
        <v>396</v>
      </c>
      <c r="D7" s="100" t="s">
        <v>397</v>
      </c>
      <c r="E7" s="100" t="s">
        <v>390</v>
      </c>
      <c r="F7" s="101" t="s">
        <v>388</v>
      </c>
      <c r="G7" s="100" t="s">
        <v>396</v>
      </c>
      <c r="H7" s="100" t="s">
        <v>397</v>
      </c>
      <c r="I7" s="100" t="s">
        <v>390</v>
      </c>
      <c r="J7" s="101" t="s">
        <v>388</v>
      </c>
    </row>
    <row r="8" spans="1:10" ht="15">
      <c r="A8" s="162">
        <v>1</v>
      </c>
      <c r="B8" s="162">
        <v>2</v>
      </c>
      <c r="C8" s="163">
        <v>3</v>
      </c>
      <c r="D8" s="163">
        <v>4</v>
      </c>
      <c r="E8" s="164">
        <v>5</v>
      </c>
      <c r="F8" s="165">
        <v>6</v>
      </c>
      <c r="G8" s="163">
        <v>7</v>
      </c>
      <c r="H8" s="163">
        <v>8</v>
      </c>
      <c r="I8" s="163">
        <v>9</v>
      </c>
      <c r="J8" s="166">
        <v>10</v>
      </c>
    </row>
    <row r="9" spans="1:10" ht="22.5">
      <c r="A9" s="175" t="s">
        <v>393</v>
      </c>
      <c r="B9" s="176"/>
      <c r="C9" s="176"/>
      <c r="D9" s="176"/>
      <c r="E9" s="176"/>
      <c r="F9" s="176"/>
      <c r="G9" s="176"/>
      <c r="H9" s="176"/>
      <c r="I9" s="176"/>
      <c r="J9" s="177"/>
    </row>
    <row r="10" spans="1:10" s="80" customFormat="1">
      <c r="A10" s="77">
        <v>10000000</v>
      </c>
      <c r="B10" s="155" t="s">
        <v>270</v>
      </c>
      <c r="C10" s="79">
        <v>4781375.602</v>
      </c>
      <c r="D10" s="79">
        <v>4812474.57</v>
      </c>
      <c r="E10" s="31">
        <v>31098.968000000001</v>
      </c>
      <c r="F10" s="30">
        <v>100.7</v>
      </c>
      <c r="G10" s="79">
        <v>407.81599999999997</v>
      </c>
      <c r="H10" s="79">
        <v>592.08000000000004</v>
      </c>
      <c r="I10" s="31">
        <v>184.26400000000001</v>
      </c>
      <c r="J10" s="32">
        <v>145.19999999999999</v>
      </c>
    </row>
    <row r="11" spans="1:10" s="81" customFormat="1">
      <c r="A11" s="67">
        <v>11000000</v>
      </c>
      <c r="B11" s="156" t="s">
        <v>271</v>
      </c>
      <c r="C11" s="11">
        <v>3940302.5860000001</v>
      </c>
      <c r="D11" s="11">
        <v>3676058.5660000001</v>
      </c>
      <c r="E11" s="12">
        <v>-264244.02</v>
      </c>
      <c r="F11" s="13">
        <v>93.3</v>
      </c>
      <c r="G11" s="11"/>
      <c r="H11" s="11"/>
      <c r="I11" s="12"/>
      <c r="J11" s="14"/>
    </row>
    <row r="12" spans="1:10" s="81" customFormat="1">
      <c r="A12" s="67">
        <v>11010000</v>
      </c>
      <c r="B12" s="156" t="s">
        <v>272</v>
      </c>
      <c r="C12" s="82">
        <v>3930374.733</v>
      </c>
      <c r="D12" s="82">
        <v>3673799.702</v>
      </c>
      <c r="E12" s="12">
        <v>-256575.03099999999</v>
      </c>
      <c r="F12" s="13">
        <v>93.5</v>
      </c>
      <c r="G12" s="11"/>
      <c r="H12" s="11"/>
      <c r="I12" s="12"/>
      <c r="J12" s="14"/>
    </row>
    <row r="13" spans="1:10" s="81" customFormat="1" ht="37.5">
      <c r="A13" s="67">
        <v>11010100</v>
      </c>
      <c r="B13" s="156" t="s">
        <v>273</v>
      </c>
      <c r="C13" s="11">
        <v>1651322.3219999999</v>
      </c>
      <c r="D13" s="82">
        <v>1734805.6470000001</v>
      </c>
      <c r="E13" s="12">
        <v>83483.324999999997</v>
      </c>
      <c r="F13" s="13">
        <v>105.1</v>
      </c>
      <c r="G13" s="11"/>
      <c r="H13" s="11"/>
      <c r="I13" s="12"/>
      <c r="J13" s="14"/>
    </row>
    <row r="14" spans="1:10" s="81" customFormat="1" ht="56.25">
      <c r="A14" s="83">
        <v>11010200</v>
      </c>
      <c r="B14" s="156" t="s">
        <v>274</v>
      </c>
      <c r="C14" s="11">
        <v>2231282.6189999999</v>
      </c>
      <c r="D14" s="82">
        <v>1865801.872</v>
      </c>
      <c r="E14" s="12">
        <v>-365480.74699999997</v>
      </c>
      <c r="F14" s="13">
        <v>83.6</v>
      </c>
      <c r="G14" s="11"/>
      <c r="H14" s="11"/>
      <c r="I14" s="12"/>
      <c r="J14" s="14"/>
    </row>
    <row r="15" spans="1:10" s="81" customFormat="1" ht="37.5">
      <c r="A15" s="83">
        <v>11010400</v>
      </c>
      <c r="B15" s="156" t="s">
        <v>275</v>
      </c>
      <c r="C15" s="11">
        <v>37518.347999999998</v>
      </c>
      <c r="D15" s="82">
        <v>45866.442000000003</v>
      </c>
      <c r="E15" s="12">
        <v>8348.0939999999991</v>
      </c>
      <c r="F15" s="13">
        <v>122.3</v>
      </c>
      <c r="G15" s="11"/>
      <c r="H15" s="11"/>
      <c r="I15" s="12"/>
      <c r="J15" s="14"/>
    </row>
    <row r="16" spans="1:10" s="81" customFormat="1" ht="37.5">
      <c r="A16" s="83">
        <v>11010500</v>
      </c>
      <c r="B16" s="156" t="s">
        <v>276</v>
      </c>
      <c r="C16" s="11">
        <v>10251.444</v>
      </c>
      <c r="D16" s="82">
        <v>27221.306</v>
      </c>
      <c r="E16" s="12">
        <v>16969.862000000001</v>
      </c>
      <c r="F16" s="13" t="s">
        <v>398</v>
      </c>
      <c r="G16" s="11"/>
      <c r="H16" s="11"/>
      <c r="I16" s="12"/>
      <c r="J16" s="14"/>
    </row>
    <row r="17" spans="1:10" s="81" customFormat="1">
      <c r="A17" s="83">
        <v>11011200</v>
      </c>
      <c r="B17" s="156" t="s">
        <v>399</v>
      </c>
      <c r="C17" s="11"/>
      <c r="D17" s="82">
        <v>98.775999999999996</v>
      </c>
      <c r="E17" s="12">
        <v>98.775999999999996</v>
      </c>
      <c r="F17" s="13"/>
      <c r="G17" s="11"/>
      <c r="H17" s="11"/>
      <c r="I17" s="12"/>
      <c r="J17" s="14"/>
    </row>
    <row r="18" spans="1:10" s="84" customFormat="1" ht="37.5">
      <c r="A18" s="83">
        <v>11011300</v>
      </c>
      <c r="B18" s="156" t="s">
        <v>400</v>
      </c>
      <c r="C18" s="11"/>
      <c r="D18" s="82">
        <v>5.6589999999999998</v>
      </c>
      <c r="E18" s="12">
        <v>5.6589999999999998</v>
      </c>
      <c r="F18" s="13"/>
      <c r="G18" s="11"/>
      <c r="H18" s="11"/>
      <c r="I18" s="12"/>
      <c r="J18" s="14"/>
    </row>
    <row r="19" spans="1:10" s="81" customFormat="1">
      <c r="A19" s="67">
        <v>11020000</v>
      </c>
      <c r="B19" s="156" t="s">
        <v>277</v>
      </c>
      <c r="C19" s="82">
        <v>9927.8529999999992</v>
      </c>
      <c r="D19" s="82">
        <v>2258.864</v>
      </c>
      <c r="E19" s="12">
        <v>-7668.9889999999996</v>
      </c>
      <c r="F19" s="13">
        <v>22.8</v>
      </c>
      <c r="G19" s="11"/>
      <c r="H19" s="11"/>
      <c r="I19" s="12"/>
      <c r="J19" s="14"/>
    </row>
    <row r="20" spans="1:10" s="81" customFormat="1">
      <c r="A20" s="67">
        <v>11020200</v>
      </c>
      <c r="B20" s="156" t="s">
        <v>278</v>
      </c>
      <c r="C20" s="82">
        <v>9927.8529999999992</v>
      </c>
      <c r="D20" s="82">
        <v>2258.864</v>
      </c>
      <c r="E20" s="12">
        <v>-7668.9889999999996</v>
      </c>
      <c r="F20" s="13">
        <v>22.8</v>
      </c>
      <c r="G20" s="11"/>
      <c r="H20" s="11"/>
      <c r="I20" s="12"/>
      <c r="J20" s="14"/>
    </row>
    <row r="21" spans="1:10" s="81" customFormat="1">
      <c r="A21" s="85">
        <v>13000000</v>
      </c>
      <c r="B21" s="157" t="s">
        <v>279</v>
      </c>
      <c r="C21" s="43">
        <v>16.303000000000001</v>
      </c>
      <c r="D21" s="82">
        <v>44.988</v>
      </c>
      <c r="E21" s="12">
        <v>28.684999999999999</v>
      </c>
      <c r="F21" s="13" t="s">
        <v>401</v>
      </c>
      <c r="G21" s="11"/>
      <c r="H21" s="11"/>
      <c r="I21" s="12"/>
      <c r="J21" s="14"/>
    </row>
    <row r="22" spans="1:10" s="81" customFormat="1">
      <c r="A22" s="85">
        <v>14000000</v>
      </c>
      <c r="B22" s="156" t="s">
        <v>280</v>
      </c>
      <c r="C22" s="43">
        <v>184647.677</v>
      </c>
      <c r="D22" s="43">
        <v>318042.36099999998</v>
      </c>
      <c r="E22" s="12">
        <v>133394.68400000001</v>
      </c>
      <c r="F22" s="13" t="s">
        <v>402</v>
      </c>
      <c r="G22" s="11"/>
      <c r="H22" s="11"/>
      <c r="I22" s="12"/>
      <c r="J22" s="14"/>
    </row>
    <row r="23" spans="1:10" s="81" customFormat="1">
      <c r="A23" s="86" t="s">
        <v>281</v>
      </c>
      <c r="B23" s="156" t="s">
        <v>282</v>
      </c>
      <c r="C23" s="43">
        <v>4400.2349999999997</v>
      </c>
      <c r="D23" s="43">
        <v>14550.22</v>
      </c>
      <c r="E23" s="12">
        <v>10149.985000000001</v>
      </c>
      <c r="F23" s="13" t="s">
        <v>403</v>
      </c>
      <c r="G23" s="11"/>
      <c r="H23" s="11"/>
      <c r="I23" s="12"/>
      <c r="J23" s="14"/>
    </row>
    <row r="24" spans="1:10" s="81" customFormat="1">
      <c r="A24" s="86" t="s">
        <v>283</v>
      </c>
      <c r="B24" s="156" t="s">
        <v>284</v>
      </c>
      <c r="C24" s="43">
        <v>4400.2349999999997</v>
      </c>
      <c r="D24" s="82">
        <v>14550.22</v>
      </c>
      <c r="E24" s="12">
        <v>10149.985000000001</v>
      </c>
      <c r="F24" s="13" t="s">
        <v>403</v>
      </c>
      <c r="G24" s="11"/>
      <c r="H24" s="11"/>
      <c r="I24" s="12"/>
      <c r="J24" s="14"/>
    </row>
    <row r="25" spans="1:10" s="81" customFormat="1">
      <c r="A25" s="86" t="s">
        <v>285</v>
      </c>
      <c r="B25" s="156" t="s">
        <v>286</v>
      </c>
      <c r="C25" s="43">
        <v>21587.403999999999</v>
      </c>
      <c r="D25" s="43">
        <v>54210.275999999998</v>
      </c>
      <c r="E25" s="12">
        <v>32622.871999999999</v>
      </c>
      <c r="F25" s="13" t="s">
        <v>364</v>
      </c>
      <c r="G25" s="11"/>
      <c r="H25" s="11"/>
      <c r="I25" s="12"/>
      <c r="J25" s="14"/>
    </row>
    <row r="26" spans="1:10" s="81" customFormat="1">
      <c r="A26" s="86" t="s">
        <v>287</v>
      </c>
      <c r="B26" s="156" t="s">
        <v>284</v>
      </c>
      <c r="C26" s="43">
        <v>21587.403999999999</v>
      </c>
      <c r="D26" s="82">
        <v>54210.275999999998</v>
      </c>
      <c r="E26" s="12">
        <v>32622.871999999999</v>
      </c>
      <c r="F26" s="13" t="s">
        <v>364</v>
      </c>
      <c r="G26" s="11"/>
      <c r="H26" s="11"/>
      <c r="I26" s="12"/>
      <c r="J26" s="14"/>
    </row>
    <row r="27" spans="1:10" s="81" customFormat="1" ht="37.5">
      <c r="A27" s="67">
        <v>14040000</v>
      </c>
      <c r="B27" s="156" t="s">
        <v>288</v>
      </c>
      <c r="C27" s="11">
        <v>158660.038</v>
      </c>
      <c r="D27" s="82">
        <v>249281.86499999999</v>
      </c>
      <c r="E27" s="12">
        <v>90621.827000000005</v>
      </c>
      <c r="F27" s="13">
        <v>157.1</v>
      </c>
      <c r="G27" s="11"/>
      <c r="H27" s="11"/>
      <c r="I27" s="12"/>
      <c r="J27" s="14"/>
    </row>
    <row r="28" spans="1:10" s="81" customFormat="1" ht="37.5">
      <c r="A28" s="67">
        <v>18000000</v>
      </c>
      <c r="B28" s="156" t="s">
        <v>289</v>
      </c>
      <c r="C28" s="11">
        <v>656409.03599999996</v>
      </c>
      <c r="D28" s="11">
        <v>818328.15300000005</v>
      </c>
      <c r="E28" s="12">
        <v>161919.117</v>
      </c>
      <c r="F28" s="13">
        <v>124.7</v>
      </c>
      <c r="G28" s="11"/>
      <c r="H28" s="11"/>
      <c r="I28" s="12"/>
      <c r="J28" s="14"/>
    </row>
    <row r="29" spans="1:10" s="81" customFormat="1">
      <c r="A29" s="67">
        <v>18010000</v>
      </c>
      <c r="B29" s="156" t="s">
        <v>290</v>
      </c>
      <c r="C29" s="11">
        <v>184620.671</v>
      </c>
      <c r="D29" s="11">
        <v>278268.86700000003</v>
      </c>
      <c r="E29" s="12">
        <v>93648.195999999996</v>
      </c>
      <c r="F29" s="13">
        <v>150.69999999999999</v>
      </c>
      <c r="G29" s="11"/>
      <c r="H29" s="11"/>
      <c r="I29" s="12"/>
      <c r="J29" s="14"/>
    </row>
    <row r="30" spans="1:10" s="81" customFormat="1" ht="37.5">
      <c r="A30" s="67">
        <v>18010100</v>
      </c>
      <c r="B30" s="156" t="s">
        <v>291</v>
      </c>
      <c r="C30" s="11">
        <v>224.22300000000001</v>
      </c>
      <c r="D30" s="11">
        <v>139.798</v>
      </c>
      <c r="E30" s="12">
        <v>-84.424999999999997</v>
      </c>
      <c r="F30" s="13">
        <v>62.3</v>
      </c>
      <c r="G30" s="11"/>
      <c r="H30" s="11"/>
      <c r="I30" s="12"/>
      <c r="J30" s="14"/>
    </row>
    <row r="31" spans="1:10" s="81" customFormat="1" ht="37.5">
      <c r="A31" s="59">
        <v>18010200</v>
      </c>
      <c r="B31" s="156" t="s">
        <v>292</v>
      </c>
      <c r="C31" s="11">
        <v>115.334</v>
      </c>
      <c r="D31" s="11">
        <v>408.83300000000003</v>
      </c>
      <c r="E31" s="12">
        <v>293.49900000000002</v>
      </c>
      <c r="F31" s="13" t="s">
        <v>405</v>
      </c>
      <c r="G31" s="11"/>
      <c r="H31" s="11"/>
      <c r="I31" s="12"/>
      <c r="J31" s="14"/>
    </row>
    <row r="32" spans="1:10" s="81" customFormat="1" ht="37.5">
      <c r="A32" s="67">
        <v>18010300</v>
      </c>
      <c r="B32" s="156" t="s">
        <v>293</v>
      </c>
      <c r="C32" s="11">
        <v>396.26900000000001</v>
      </c>
      <c r="D32" s="11">
        <v>2612.25</v>
      </c>
      <c r="E32" s="12">
        <v>2215.9810000000002</v>
      </c>
      <c r="F32" s="13" t="s">
        <v>406</v>
      </c>
      <c r="G32" s="11"/>
      <c r="H32" s="11"/>
      <c r="I32" s="12"/>
      <c r="J32" s="14"/>
    </row>
    <row r="33" spans="1:10" s="81" customFormat="1" ht="37.5">
      <c r="A33" s="67">
        <v>18010400</v>
      </c>
      <c r="B33" s="156" t="s">
        <v>294</v>
      </c>
      <c r="C33" s="11">
        <v>31698.7</v>
      </c>
      <c r="D33" s="11">
        <v>41002.646000000001</v>
      </c>
      <c r="E33" s="12">
        <v>9303.9459999999999</v>
      </c>
      <c r="F33" s="13">
        <v>129.4</v>
      </c>
      <c r="G33" s="11"/>
      <c r="H33" s="11"/>
      <c r="I33" s="12"/>
      <c r="J33" s="14"/>
    </row>
    <row r="34" spans="1:10" s="81" customFormat="1">
      <c r="A34" s="67">
        <v>18010500</v>
      </c>
      <c r="B34" s="156" t="s">
        <v>295</v>
      </c>
      <c r="C34" s="11">
        <v>63249.053</v>
      </c>
      <c r="D34" s="11">
        <v>74820.554999999993</v>
      </c>
      <c r="E34" s="12">
        <v>11571.502</v>
      </c>
      <c r="F34" s="13">
        <v>118.3</v>
      </c>
      <c r="G34" s="11"/>
      <c r="H34" s="11"/>
      <c r="I34" s="12"/>
      <c r="J34" s="14"/>
    </row>
    <row r="35" spans="1:10" s="81" customFormat="1">
      <c r="A35" s="67">
        <v>18010600</v>
      </c>
      <c r="B35" s="156" t="s">
        <v>296</v>
      </c>
      <c r="C35" s="11">
        <v>82971.623999999996</v>
      </c>
      <c r="D35" s="11">
        <v>132243.704</v>
      </c>
      <c r="E35" s="12">
        <v>49272.08</v>
      </c>
      <c r="F35" s="13">
        <v>159.4</v>
      </c>
      <c r="G35" s="11"/>
      <c r="H35" s="11"/>
      <c r="I35" s="12"/>
      <c r="J35" s="14"/>
    </row>
    <row r="36" spans="1:10" s="81" customFormat="1">
      <c r="A36" s="67">
        <v>18010700</v>
      </c>
      <c r="B36" s="156" t="s">
        <v>297</v>
      </c>
      <c r="C36" s="11">
        <v>314.26600000000002</v>
      </c>
      <c r="D36" s="11">
        <v>4809.0919999999996</v>
      </c>
      <c r="E36" s="12">
        <v>4494.826</v>
      </c>
      <c r="F36" s="13" t="s">
        <v>407</v>
      </c>
      <c r="G36" s="11"/>
      <c r="H36" s="11"/>
      <c r="I36" s="12"/>
      <c r="J36" s="14"/>
    </row>
    <row r="37" spans="1:10" s="81" customFormat="1" ht="22.15" customHeight="1">
      <c r="A37" s="67">
        <v>18010900</v>
      </c>
      <c r="B37" s="156" t="s">
        <v>298</v>
      </c>
      <c r="C37" s="11">
        <v>4952.9849999999997</v>
      </c>
      <c r="D37" s="11">
        <v>20410.465</v>
      </c>
      <c r="E37" s="12">
        <v>15457.48</v>
      </c>
      <c r="F37" s="13" t="s">
        <v>408</v>
      </c>
      <c r="G37" s="11"/>
      <c r="H37" s="11"/>
      <c r="I37" s="12"/>
      <c r="J37" s="14"/>
    </row>
    <row r="38" spans="1:10" s="81" customFormat="1">
      <c r="A38" s="67">
        <v>18011000</v>
      </c>
      <c r="B38" s="156" t="s">
        <v>299</v>
      </c>
      <c r="C38" s="11">
        <v>174.31800000000001</v>
      </c>
      <c r="D38" s="11">
        <v>1333.559</v>
      </c>
      <c r="E38" s="12">
        <v>1159.241</v>
      </c>
      <c r="F38" s="13" t="s">
        <v>409</v>
      </c>
      <c r="G38" s="11"/>
      <c r="H38" s="11"/>
      <c r="I38" s="12"/>
      <c r="J38" s="14"/>
    </row>
    <row r="39" spans="1:10" s="81" customFormat="1" ht="21.6" customHeight="1">
      <c r="A39" s="67">
        <v>18011100</v>
      </c>
      <c r="B39" s="156" t="s">
        <v>300</v>
      </c>
      <c r="C39" s="11">
        <v>523.899</v>
      </c>
      <c r="D39" s="11">
        <v>487.96499999999997</v>
      </c>
      <c r="E39" s="12">
        <v>-35.933999999999997</v>
      </c>
      <c r="F39" s="13">
        <v>93.1</v>
      </c>
      <c r="G39" s="11"/>
      <c r="H39" s="11"/>
      <c r="I39" s="12"/>
      <c r="J39" s="14"/>
    </row>
    <row r="40" spans="1:10" s="81" customFormat="1" ht="22.15" customHeight="1">
      <c r="A40" s="67">
        <v>18030000</v>
      </c>
      <c r="B40" s="156" t="s">
        <v>301</v>
      </c>
      <c r="C40" s="11">
        <v>563.43899999999996</v>
      </c>
      <c r="D40" s="11">
        <v>737.18</v>
      </c>
      <c r="E40" s="12">
        <v>173.74100000000001</v>
      </c>
      <c r="F40" s="13">
        <v>130.80000000000001</v>
      </c>
      <c r="G40" s="11"/>
      <c r="H40" s="11"/>
      <c r="I40" s="12"/>
      <c r="J40" s="14"/>
    </row>
    <row r="41" spans="1:10" s="81" customFormat="1" ht="22.9" customHeight="1">
      <c r="A41" s="67">
        <v>18030100</v>
      </c>
      <c r="B41" s="156" t="s">
        <v>302</v>
      </c>
      <c r="C41" s="11">
        <v>162.14099999999999</v>
      </c>
      <c r="D41" s="11">
        <v>263.48399999999998</v>
      </c>
      <c r="E41" s="12">
        <v>101.343</v>
      </c>
      <c r="F41" s="13" t="s">
        <v>404</v>
      </c>
      <c r="G41" s="11"/>
      <c r="H41" s="11"/>
      <c r="I41" s="12"/>
      <c r="J41" s="14"/>
    </row>
    <row r="42" spans="1:10" s="81" customFormat="1">
      <c r="A42" s="67">
        <v>18030200</v>
      </c>
      <c r="B42" s="156" t="s">
        <v>303</v>
      </c>
      <c r="C42" s="11">
        <v>401.298</v>
      </c>
      <c r="D42" s="11">
        <v>473.69600000000003</v>
      </c>
      <c r="E42" s="12">
        <v>72.397999999999996</v>
      </c>
      <c r="F42" s="13">
        <v>118</v>
      </c>
      <c r="G42" s="11"/>
      <c r="H42" s="11"/>
      <c r="I42" s="12"/>
      <c r="J42" s="14"/>
    </row>
    <row r="43" spans="1:10" s="81" customFormat="1">
      <c r="A43" s="67">
        <v>18050000</v>
      </c>
      <c r="B43" s="156" t="s">
        <v>304</v>
      </c>
      <c r="C43" s="11">
        <v>471224.92599999998</v>
      </c>
      <c r="D43" s="11">
        <v>539322.10600000003</v>
      </c>
      <c r="E43" s="12">
        <v>68097.179999999993</v>
      </c>
      <c r="F43" s="13">
        <v>114.5</v>
      </c>
      <c r="G43" s="11"/>
      <c r="H43" s="11"/>
      <c r="I43" s="12"/>
      <c r="J43" s="14"/>
    </row>
    <row r="44" spans="1:10" s="81" customFormat="1">
      <c r="A44" s="67">
        <v>18050300</v>
      </c>
      <c r="B44" s="156" t="s">
        <v>305</v>
      </c>
      <c r="C44" s="11">
        <v>105368.02499999999</v>
      </c>
      <c r="D44" s="11">
        <v>118865.28</v>
      </c>
      <c r="E44" s="12">
        <v>13497.254999999999</v>
      </c>
      <c r="F44" s="13">
        <v>112.8</v>
      </c>
      <c r="G44" s="11"/>
      <c r="H44" s="11"/>
      <c r="I44" s="12"/>
      <c r="J44" s="14"/>
    </row>
    <row r="45" spans="1:10" s="81" customFormat="1">
      <c r="A45" s="67">
        <v>18050400</v>
      </c>
      <c r="B45" s="156" t="s">
        <v>306</v>
      </c>
      <c r="C45" s="11">
        <v>365823.56599999999</v>
      </c>
      <c r="D45" s="11">
        <v>420465.82900000003</v>
      </c>
      <c r="E45" s="12">
        <v>54642.262999999999</v>
      </c>
      <c r="F45" s="13">
        <v>114.9</v>
      </c>
      <c r="G45" s="11"/>
      <c r="H45" s="11"/>
      <c r="I45" s="12"/>
      <c r="J45" s="14"/>
    </row>
    <row r="46" spans="1:10" s="81" customFormat="1" ht="56.25">
      <c r="A46" s="67">
        <v>18050500</v>
      </c>
      <c r="B46" s="156" t="s">
        <v>307</v>
      </c>
      <c r="C46" s="11">
        <v>33.335000000000001</v>
      </c>
      <c r="D46" s="11">
        <v>-9.0030000000000001</v>
      </c>
      <c r="E46" s="12">
        <v>-42.338000000000001</v>
      </c>
      <c r="F46" s="13"/>
      <c r="G46" s="11"/>
      <c r="H46" s="11"/>
      <c r="I46" s="12"/>
      <c r="J46" s="14"/>
    </row>
    <row r="47" spans="1:10" s="80" customFormat="1">
      <c r="A47" s="67">
        <v>19000000</v>
      </c>
      <c r="B47" s="156" t="s">
        <v>410</v>
      </c>
      <c r="C47" s="11"/>
      <c r="D47" s="82">
        <v>0.502</v>
      </c>
      <c r="E47" s="12">
        <v>0.502</v>
      </c>
      <c r="F47" s="13"/>
      <c r="G47" s="11">
        <v>407.81599999999997</v>
      </c>
      <c r="H47" s="11">
        <v>592.08000000000004</v>
      </c>
      <c r="I47" s="12">
        <v>184.26400000000001</v>
      </c>
      <c r="J47" s="14">
        <v>145.19999999999999</v>
      </c>
    </row>
    <row r="48" spans="1:10" s="81" customFormat="1">
      <c r="A48" s="67">
        <v>19010000</v>
      </c>
      <c r="B48" s="158" t="s">
        <v>308</v>
      </c>
      <c r="C48" s="82"/>
      <c r="D48" s="82"/>
      <c r="E48" s="12"/>
      <c r="F48" s="13"/>
      <c r="G48" s="82">
        <v>407.81599999999997</v>
      </c>
      <c r="H48" s="82">
        <v>592.08799999999997</v>
      </c>
      <c r="I48" s="12">
        <v>184.27199999999999</v>
      </c>
      <c r="J48" s="13">
        <v>145.19999999999999</v>
      </c>
    </row>
    <row r="49" spans="1:10" s="81" customFormat="1" ht="37.5">
      <c r="A49" s="67">
        <v>19050300</v>
      </c>
      <c r="B49" s="156" t="s">
        <v>411</v>
      </c>
      <c r="C49" s="11"/>
      <c r="D49" s="11"/>
      <c r="E49" s="12"/>
      <c r="F49" s="13"/>
      <c r="G49" s="11"/>
      <c r="H49" s="11">
        <v>-8.0000000000000002E-3</v>
      </c>
      <c r="I49" s="12">
        <v>-8.0000000000000002E-3</v>
      </c>
      <c r="J49" s="14"/>
    </row>
    <row r="50" spans="1:10" s="81" customFormat="1">
      <c r="A50" s="67">
        <v>19090500</v>
      </c>
      <c r="B50" s="156" t="s">
        <v>412</v>
      </c>
      <c r="C50" s="82"/>
      <c r="D50" s="82">
        <v>0.502</v>
      </c>
      <c r="E50" s="12">
        <v>0.502</v>
      </c>
      <c r="F50" s="13"/>
      <c r="G50" s="11"/>
      <c r="H50" s="11"/>
      <c r="I50" s="12"/>
      <c r="J50" s="14"/>
    </row>
    <row r="51" spans="1:10" s="84" customFormat="1">
      <c r="A51" s="77">
        <v>20000000</v>
      </c>
      <c r="B51" s="155" t="s">
        <v>309</v>
      </c>
      <c r="C51" s="49">
        <v>24076.988000000001</v>
      </c>
      <c r="D51" s="79">
        <v>64553.851999999999</v>
      </c>
      <c r="E51" s="31">
        <v>40476.864000000001</v>
      </c>
      <c r="F51" s="30" t="s">
        <v>398</v>
      </c>
      <c r="G51" s="49">
        <v>126245.42600000001</v>
      </c>
      <c r="H51" s="49">
        <v>173882.283</v>
      </c>
      <c r="I51" s="31">
        <v>47636.857000000004</v>
      </c>
      <c r="J51" s="32">
        <v>137.69999999999999</v>
      </c>
    </row>
    <row r="52" spans="1:10" s="81" customFormat="1">
      <c r="A52" s="67">
        <v>21000000</v>
      </c>
      <c r="B52" s="156" t="s">
        <v>310</v>
      </c>
      <c r="C52" s="11">
        <v>2415.502</v>
      </c>
      <c r="D52" s="82">
        <v>8370.9560000000001</v>
      </c>
      <c r="E52" s="12">
        <v>5955.4539999999997</v>
      </c>
      <c r="F52" s="13" t="s">
        <v>405</v>
      </c>
      <c r="G52" s="11"/>
      <c r="H52" s="11"/>
      <c r="I52" s="12"/>
      <c r="J52" s="14"/>
    </row>
    <row r="53" spans="1:10" s="81" customFormat="1">
      <c r="A53" s="67">
        <v>21080000</v>
      </c>
      <c r="B53" s="156" t="s">
        <v>311</v>
      </c>
      <c r="C53" s="11">
        <v>2415.502</v>
      </c>
      <c r="D53" s="82">
        <v>8370.9560000000001</v>
      </c>
      <c r="E53" s="12">
        <v>5955.4539999999997</v>
      </c>
      <c r="F53" s="13" t="s">
        <v>405</v>
      </c>
      <c r="G53" s="11"/>
      <c r="H53" s="11"/>
      <c r="I53" s="12"/>
      <c r="J53" s="14"/>
    </row>
    <row r="54" spans="1:10" s="81" customFormat="1" ht="21.4" customHeight="1">
      <c r="A54" s="67">
        <v>21080500</v>
      </c>
      <c r="B54" s="157" t="s">
        <v>311</v>
      </c>
      <c r="C54" s="11">
        <v>50.036999999999999</v>
      </c>
      <c r="D54" s="82"/>
      <c r="E54" s="12">
        <v>-50.036999999999999</v>
      </c>
      <c r="F54" s="13"/>
      <c r="G54" s="11"/>
      <c r="H54" s="11"/>
      <c r="I54" s="12"/>
      <c r="J54" s="14"/>
    </row>
    <row r="55" spans="1:10" s="81" customFormat="1">
      <c r="A55" s="67">
        <v>21081100</v>
      </c>
      <c r="B55" s="159" t="s">
        <v>312</v>
      </c>
      <c r="C55" s="11">
        <v>1781.23</v>
      </c>
      <c r="D55" s="82">
        <v>5176.5349999999999</v>
      </c>
      <c r="E55" s="12">
        <v>3395.3049999999998</v>
      </c>
      <c r="F55" s="13" t="s">
        <v>378</v>
      </c>
      <c r="G55" s="11"/>
      <c r="H55" s="11"/>
      <c r="I55" s="12"/>
      <c r="J55" s="14"/>
    </row>
    <row r="56" spans="1:10" s="81" customFormat="1" ht="56.25">
      <c r="A56" s="67">
        <v>21081500</v>
      </c>
      <c r="B56" s="157" t="s">
        <v>413</v>
      </c>
      <c r="C56" s="11">
        <v>399.096</v>
      </c>
      <c r="D56" s="82">
        <v>2368.319</v>
      </c>
      <c r="E56" s="12">
        <v>1969.223</v>
      </c>
      <c r="F56" s="13" t="s">
        <v>414</v>
      </c>
      <c r="G56" s="11"/>
      <c r="H56" s="11"/>
      <c r="I56" s="12"/>
      <c r="J56" s="14"/>
    </row>
    <row r="57" spans="1:10" s="81" customFormat="1" ht="37.5">
      <c r="A57" s="67">
        <v>21081700</v>
      </c>
      <c r="B57" s="156" t="s">
        <v>415</v>
      </c>
      <c r="C57" s="11">
        <v>120</v>
      </c>
      <c r="D57" s="11">
        <v>650</v>
      </c>
      <c r="E57" s="12">
        <v>530</v>
      </c>
      <c r="F57" s="13" t="s">
        <v>416</v>
      </c>
      <c r="G57" s="11"/>
      <c r="H57" s="11"/>
      <c r="I57" s="12"/>
      <c r="J57" s="14"/>
    </row>
    <row r="58" spans="1:10" s="81" customFormat="1" ht="37.5">
      <c r="A58" s="67">
        <v>21081800</v>
      </c>
      <c r="B58" s="156" t="s">
        <v>417</v>
      </c>
      <c r="C58" s="11"/>
      <c r="D58" s="11">
        <v>5.2999999999999999E-2</v>
      </c>
      <c r="E58" s="12">
        <v>5.2999999999999999E-2</v>
      </c>
      <c r="F58" s="13"/>
      <c r="G58" s="11"/>
      <c r="H58" s="11"/>
      <c r="I58" s="12"/>
      <c r="J58" s="14"/>
    </row>
    <row r="59" spans="1:10" s="81" customFormat="1" ht="56.25">
      <c r="A59" s="67">
        <v>21082400</v>
      </c>
      <c r="B59" s="157" t="s">
        <v>354</v>
      </c>
      <c r="C59" s="11">
        <v>65.138999999999996</v>
      </c>
      <c r="D59" s="11">
        <v>176.04900000000001</v>
      </c>
      <c r="E59" s="12">
        <v>110.91</v>
      </c>
      <c r="F59" s="13" t="s">
        <v>398</v>
      </c>
      <c r="G59" s="11"/>
      <c r="H59" s="11"/>
      <c r="I59" s="12"/>
      <c r="J59" s="14"/>
    </row>
    <row r="60" spans="1:10" s="81" customFormat="1">
      <c r="A60" s="67">
        <v>22000000</v>
      </c>
      <c r="B60" s="156" t="s">
        <v>313</v>
      </c>
      <c r="C60" s="11">
        <v>12807.859</v>
      </c>
      <c r="D60" s="11">
        <v>33544.578999999998</v>
      </c>
      <c r="E60" s="12">
        <v>20736.72</v>
      </c>
      <c r="F60" s="13" t="s">
        <v>418</v>
      </c>
      <c r="G60" s="11"/>
      <c r="H60" s="11"/>
      <c r="I60" s="12"/>
      <c r="J60" s="14"/>
    </row>
    <row r="61" spans="1:10" s="81" customFormat="1">
      <c r="A61" s="67">
        <v>22010000</v>
      </c>
      <c r="B61" s="157" t="s">
        <v>314</v>
      </c>
      <c r="C61" s="11">
        <v>7973.9870000000001</v>
      </c>
      <c r="D61" s="11">
        <v>26124.545999999998</v>
      </c>
      <c r="E61" s="12">
        <v>18150.559000000001</v>
      </c>
      <c r="F61" s="13" t="s">
        <v>403</v>
      </c>
      <c r="G61" s="11"/>
      <c r="H61" s="11"/>
      <c r="I61" s="12"/>
      <c r="J61" s="14"/>
    </row>
    <row r="62" spans="1:10" s="81" customFormat="1" ht="37.5">
      <c r="A62" s="67">
        <v>22010300</v>
      </c>
      <c r="B62" s="160" t="s">
        <v>315</v>
      </c>
      <c r="C62" s="11">
        <v>194.34299999999999</v>
      </c>
      <c r="D62" s="11">
        <v>314.82100000000003</v>
      </c>
      <c r="E62" s="12">
        <v>120.47799999999999</v>
      </c>
      <c r="F62" s="13" t="s">
        <v>404</v>
      </c>
      <c r="G62" s="11"/>
      <c r="H62" s="11"/>
      <c r="I62" s="12"/>
      <c r="J62" s="14"/>
    </row>
    <row r="63" spans="1:10" s="81" customFormat="1">
      <c r="A63" s="67">
        <v>22012500</v>
      </c>
      <c r="B63" s="160" t="s">
        <v>316</v>
      </c>
      <c r="C63" s="11">
        <v>7626.0069999999996</v>
      </c>
      <c r="D63" s="11">
        <v>25412.964</v>
      </c>
      <c r="E63" s="12">
        <v>17786.956999999999</v>
      </c>
      <c r="F63" s="13" t="s">
        <v>403</v>
      </c>
      <c r="G63" s="11"/>
      <c r="H63" s="11"/>
      <c r="I63" s="12"/>
      <c r="J63" s="14"/>
    </row>
    <row r="64" spans="1:10" s="81" customFormat="1">
      <c r="A64" s="67">
        <v>22012600</v>
      </c>
      <c r="B64" s="156" t="s">
        <v>317</v>
      </c>
      <c r="C64" s="82">
        <v>146.17500000000001</v>
      </c>
      <c r="D64" s="82">
        <v>388.06099999999998</v>
      </c>
      <c r="E64" s="12">
        <v>241.886</v>
      </c>
      <c r="F64" s="13" t="s">
        <v>398</v>
      </c>
      <c r="G64" s="11"/>
      <c r="H64" s="11"/>
      <c r="I64" s="12"/>
      <c r="J64" s="14"/>
    </row>
    <row r="65" spans="1:10" s="81" customFormat="1" ht="75">
      <c r="A65" s="67">
        <v>22012900</v>
      </c>
      <c r="B65" s="158" t="s">
        <v>318</v>
      </c>
      <c r="C65" s="11">
        <v>7.4619999999999997</v>
      </c>
      <c r="D65" s="11">
        <v>8.6999999999999993</v>
      </c>
      <c r="E65" s="12">
        <v>1.238</v>
      </c>
      <c r="F65" s="13">
        <v>116.6</v>
      </c>
      <c r="G65" s="11"/>
      <c r="H65" s="11"/>
      <c r="I65" s="12"/>
      <c r="J65" s="14"/>
    </row>
    <row r="66" spans="1:10" s="81" customFormat="1" ht="37.5">
      <c r="A66" s="67">
        <v>22080400</v>
      </c>
      <c r="B66" s="156" t="s">
        <v>419</v>
      </c>
      <c r="C66" s="11">
        <v>4726.9970000000003</v>
      </c>
      <c r="D66" s="11">
        <v>7089.652</v>
      </c>
      <c r="E66" s="12">
        <v>2362.6550000000002</v>
      </c>
      <c r="F66" s="13">
        <v>150</v>
      </c>
      <c r="G66" s="11"/>
      <c r="H66" s="11"/>
      <c r="I66" s="12"/>
      <c r="J66" s="14"/>
    </row>
    <row r="67" spans="1:10" s="81" customFormat="1">
      <c r="A67" s="67">
        <v>22090000</v>
      </c>
      <c r="B67" s="156" t="s">
        <v>319</v>
      </c>
      <c r="C67" s="11">
        <v>106.875</v>
      </c>
      <c r="D67" s="11">
        <v>330.38099999999997</v>
      </c>
      <c r="E67" s="12">
        <v>223.506</v>
      </c>
      <c r="F67" s="13" t="s">
        <v>420</v>
      </c>
      <c r="G67" s="11"/>
      <c r="H67" s="11"/>
      <c r="I67" s="12"/>
      <c r="J67" s="14"/>
    </row>
    <row r="68" spans="1:10" s="81" customFormat="1" ht="37.5">
      <c r="A68" s="67">
        <v>22090100</v>
      </c>
      <c r="B68" s="156" t="s">
        <v>320</v>
      </c>
      <c r="C68" s="11">
        <v>43.417000000000002</v>
      </c>
      <c r="D68" s="11">
        <v>81.38</v>
      </c>
      <c r="E68" s="12">
        <v>37.963000000000001</v>
      </c>
      <c r="F68" s="13" t="s">
        <v>421</v>
      </c>
      <c r="G68" s="11"/>
      <c r="H68" s="11"/>
      <c r="I68" s="12"/>
      <c r="J68" s="14"/>
    </row>
    <row r="69" spans="1:10" s="81" customFormat="1" ht="37.5">
      <c r="A69" s="67">
        <v>22090400</v>
      </c>
      <c r="B69" s="156" t="s">
        <v>321</v>
      </c>
      <c r="C69" s="82">
        <v>63.457999999999998</v>
      </c>
      <c r="D69" s="82">
        <v>249.001</v>
      </c>
      <c r="E69" s="12">
        <v>185.54300000000001</v>
      </c>
      <c r="F69" s="13" t="s">
        <v>422</v>
      </c>
      <c r="G69" s="11"/>
      <c r="H69" s="11"/>
      <c r="I69" s="12"/>
      <c r="J69" s="14"/>
    </row>
    <row r="70" spans="1:10" s="81" customFormat="1" ht="21" customHeight="1">
      <c r="A70" s="67">
        <v>24000000</v>
      </c>
      <c r="B70" s="156" t="s">
        <v>322</v>
      </c>
      <c r="C70" s="82">
        <v>8853.6270000000004</v>
      </c>
      <c r="D70" s="82">
        <v>22638.316999999999</v>
      </c>
      <c r="E70" s="12">
        <v>13784.69</v>
      </c>
      <c r="F70" s="13" t="s">
        <v>418</v>
      </c>
      <c r="G70" s="11">
        <v>329.452</v>
      </c>
      <c r="H70" s="11">
        <v>473.98599999999999</v>
      </c>
      <c r="I70" s="12">
        <v>144.53399999999999</v>
      </c>
      <c r="J70" s="14">
        <v>143.9</v>
      </c>
    </row>
    <row r="71" spans="1:10" s="81" customFormat="1">
      <c r="A71" s="67">
        <v>24060000</v>
      </c>
      <c r="B71" s="156" t="s">
        <v>311</v>
      </c>
      <c r="C71" s="11">
        <v>8853.6270000000004</v>
      </c>
      <c r="D71" s="82">
        <v>22638.316999999999</v>
      </c>
      <c r="E71" s="12">
        <v>13784.69</v>
      </c>
      <c r="F71" s="13" t="s">
        <v>418</v>
      </c>
      <c r="G71" s="11">
        <v>105.32299999999999</v>
      </c>
      <c r="H71" s="11">
        <v>83.41</v>
      </c>
      <c r="I71" s="12">
        <v>-21.913</v>
      </c>
      <c r="J71" s="14">
        <v>79.2</v>
      </c>
    </row>
    <row r="72" spans="1:10" s="81" customFormat="1">
      <c r="A72" s="67">
        <v>24060300</v>
      </c>
      <c r="B72" s="160" t="s">
        <v>311</v>
      </c>
      <c r="C72" s="11">
        <v>8049.9139999999998</v>
      </c>
      <c r="D72" s="82">
        <v>18354.375</v>
      </c>
      <c r="E72" s="12">
        <v>10304.460999999999</v>
      </c>
      <c r="F72" s="13" t="s">
        <v>391</v>
      </c>
      <c r="G72" s="11"/>
      <c r="H72" s="11"/>
      <c r="I72" s="12"/>
      <c r="J72" s="14"/>
    </row>
    <row r="73" spans="1:10" s="81" customFormat="1" ht="56.25">
      <c r="A73" s="67">
        <v>24061900</v>
      </c>
      <c r="B73" s="156" t="s">
        <v>363</v>
      </c>
      <c r="C73" s="11"/>
      <c r="D73" s="82">
        <v>74.831000000000003</v>
      </c>
      <c r="E73" s="12">
        <v>74.831000000000003</v>
      </c>
      <c r="F73" s="13"/>
      <c r="G73" s="11"/>
      <c r="H73" s="11"/>
      <c r="I73" s="12"/>
      <c r="J73" s="14"/>
    </row>
    <row r="74" spans="1:10" s="81" customFormat="1" ht="37.5">
      <c r="A74" s="67">
        <v>24062100</v>
      </c>
      <c r="B74" s="156" t="s">
        <v>323</v>
      </c>
      <c r="C74" s="11"/>
      <c r="D74" s="82"/>
      <c r="E74" s="12"/>
      <c r="F74" s="13"/>
      <c r="G74" s="11">
        <v>105.32299999999999</v>
      </c>
      <c r="H74" s="11">
        <v>83.41</v>
      </c>
      <c r="I74" s="12">
        <v>-21.913</v>
      </c>
      <c r="J74" s="14">
        <v>79.2</v>
      </c>
    </row>
    <row r="75" spans="1:10" s="81" customFormat="1" ht="112.5">
      <c r="A75" s="67">
        <v>24062200</v>
      </c>
      <c r="B75" s="158" t="s">
        <v>324</v>
      </c>
      <c r="C75" s="11">
        <v>803.71299999999997</v>
      </c>
      <c r="D75" s="82">
        <v>4209.1109999999999</v>
      </c>
      <c r="E75" s="12">
        <v>3405.3980000000001</v>
      </c>
      <c r="F75" s="13" t="s">
        <v>389</v>
      </c>
      <c r="G75" s="46"/>
      <c r="H75" s="46"/>
      <c r="I75" s="12"/>
      <c r="J75" s="14"/>
    </row>
    <row r="76" spans="1:10" s="81" customFormat="1" ht="37.5">
      <c r="A76" s="67">
        <v>24110700</v>
      </c>
      <c r="B76" s="156" t="s">
        <v>423</v>
      </c>
      <c r="C76" s="82"/>
      <c r="D76" s="82"/>
      <c r="E76" s="12"/>
      <c r="F76" s="13"/>
      <c r="G76" s="82">
        <v>2.4E-2</v>
      </c>
      <c r="H76" s="82">
        <v>2.4E-2</v>
      </c>
      <c r="I76" s="12"/>
      <c r="J76" s="14"/>
    </row>
    <row r="77" spans="1:10" s="81" customFormat="1" ht="56.25">
      <c r="A77" s="67">
        <v>24110900</v>
      </c>
      <c r="B77" s="156" t="s">
        <v>325</v>
      </c>
      <c r="C77" s="82"/>
      <c r="D77" s="82"/>
      <c r="E77" s="12"/>
      <c r="F77" s="13"/>
      <c r="G77" s="82">
        <v>224.10499999999999</v>
      </c>
      <c r="H77" s="82">
        <v>279.79700000000003</v>
      </c>
      <c r="I77" s="12">
        <v>55.692</v>
      </c>
      <c r="J77" s="14">
        <v>124.9</v>
      </c>
    </row>
    <row r="78" spans="1:10" s="80" customFormat="1">
      <c r="A78" s="67">
        <v>24170000</v>
      </c>
      <c r="B78" s="156" t="s">
        <v>424</v>
      </c>
      <c r="C78" s="82"/>
      <c r="D78" s="82"/>
      <c r="E78" s="12"/>
      <c r="F78" s="13"/>
      <c r="G78" s="82"/>
      <c r="H78" s="82">
        <v>110.755</v>
      </c>
      <c r="I78" s="12">
        <v>110.755</v>
      </c>
      <c r="J78" s="14"/>
    </row>
    <row r="79" spans="1:10" s="81" customFormat="1" ht="24.6" customHeight="1">
      <c r="A79" s="67">
        <v>25000000</v>
      </c>
      <c r="B79" s="156" t="s">
        <v>326</v>
      </c>
      <c r="C79" s="82"/>
      <c r="D79" s="82"/>
      <c r="E79" s="12"/>
      <c r="F79" s="13"/>
      <c r="G79" s="82">
        <v>125915.974</v>
      </c>
      <c r="H79" s="82">
        <v>173408.29699999999</v>
      </c>
      <c r="I79" s="12">
        <v>47492.322999999997</v>
      </c>
      <c r="J79" s="14">
        <v>137.69999999999999</v>
      </c>
    </row>
    <row r="80" spans="1:10" s="81" customFormat="1" ht="38.25" customHeight="1">
      <c r="A80" s="77">
        <v>30000000</v>
      </c>
      <c r="B80" s="155" t="s">
        <v>327</v>
      </c>
      <c r="C80" s="79">
        <v>-3.8740000000000001</v>
      </c>
      <c r="D80" s="79">
        <v>0.748</v>
      </c>
      <c r="E80" s="31">
        <v>4.6219999999999999</v>
      </c>
      <c r="F80" s="30"/>
      <c r="G80" s="79">
        <v>103</v>
      </c>
      <c r="H80" s="79">
        <v>118.92</v>
      </c>
      <c r="I80" s="31">
        <v>15.92</v>
      </c>
      <c r="J80" s="32">
        <v>115.5</v>
      </c>
    </row>
    <row r="81" spans="1:10" s="81" customFormat="1">
      <c r="A81" s="67">
        <v>31000000</v>
      </c>
      <c r="B81" s="156" t="s">
        <v>328</v>
      </c>
      <c r="C81" s="82">
        <v>-3.8740000000000001</v>
      </c>
      <c r="D81" s="82">
        <v>0.748</v>
      </c>
      <c r="E81" s="12">
        <v>4.6219999999999999</v>
      </c>
      <c r="F81" s="13"/>
      <c r="G81" s="82"/>
      <c r="H81" s="82"/>
      <c r="I81" s="12"/>
      <c r="J81" s="32"/>
    </row>
    <row r="82" spans="1:10" s="81" customFormat="1" ht="56.25">
      <c r="A82" s="67">
        <v>31010000</v>
      </c>
      <c r="B82" s="156" t="s">
        <v>425</v>
      </c>
      <c r="C82" s="82">
        <v>-3.96</v>
      </c>
      <c r="D82" s="82">
        <v>0.748</v>
      </c>
      <c r="E82" s="12">
        <v>4.7080000000000002</v>
      </c>
      <c r="F82" s="13"/>
      <c r="G82" s="82"/>
      <c r="H82" s="82"/>
      <c r="I82" s="12"/>
      <c r="J82" s="14"/>
    </row>
    <row r="83" spans="1:10" s="81" customFormat="1" ht="56.25">
      <c r="A83" s="67">
        <v>31010200</v>
      </c>
      <c r="B83" s="156" t="s">
        <v>426</v>
      </c>
      <c r="C83" s="82">
        <v>-3.96</v>
      </c>
      <c r="D83" s="82">
        <v>0.748</v>
      </c>
      <c r="E83" s="12">
        <v>4.7080000000000002</v>
      </c>
      <c r="F83" s="13"/>
      <c r="G83" s="82"/>
      <c r="H83" s="82"/>
      <c r="I83" s="12"/>
      <c r="J83" s="14"/>
    </row>
    <row r="84" spans="1:10" s="81" customFormat="1">
      <c r="A84" s="83">
        <v>31020000</v>
      </c>
      <c r="B84" s="160" t="s">
        <v>329</v>
      </c>
      <c r="C84" s="82">
        <v>8.5999999999999993E-2</v>
      </c>
      <c r="D84" s="82"/>
      <c r="E84" s="12">
        <v>-8.5999999999999993E-2</v>
      </c>
      <c r="F84" s="13"/>
      <c r="G84" s="79"/>
      <c r="H84" s="79"/>
      <c r="I84" s="31"/>
      <c r="J84" s="32"/>
    </row>
    <row r="85" spans="1:10" s="81" customFormat="1">
      <c r="A85" s="83">
        <v>33010000</v>
      </c>
      <c r="B85" s="160" t="s">
        <v>330</v>
      </c>
      <c r="C85" s="82"/>
      <c r="D85" s="82"/>
      <c r="E85" s="12"/>
      <c r="F85" s="13"/>
      <c r="G85" s="82">
        <v>103</v>
      </c>
      <c r="H85" s="82">
        <v>118.92</v>
      </c>
      <c r="I85" s="12">
        <v>15.92</v>
      </c>
      <c r="J85" s="14">
        <v>115.5</v>
      </c>
    </row>
    <row r="86" spans="1:10" s="88" customFormat="1">
      <c r="A86" s="90">
        <v>50000000</v>
      </c>
      <c r="B86" s="161" t="s">
        <v>427</v>
      </c>
      <c r="C86" s="49"/>
      <c r="D86" s="49"/>
      <c r="E86" s="31"/>
      <c r="F86" s="30"/>
      <c r="G86" s="49"/>
      <c r="H86" s="49">
        <v>32.942</v>
      </c>
      <c r="I86" s="31">
        <v>32.942</v>
      </c>
      <c r="J86" s="32"/>
    </row>
    <row r="87" spans="1:10" s="80" customFormat="1" ht="37.5">
      <c r="A87" s="85">
        <v>50110000</v>
      </c>
      <c r="B87" s="157" t="s">
        <v>428</v>
      </c>
      <c r="C87" s="11"/>
      <c r="D87" s="82"/>
      <c r="E87" s="12"/>
      <c r="F87" s="13"/>
      <c r="G87" s="82"/>
      <c r="H87" s="82">
        <v>32.942</v>
      </c>
      <c r="I87" s="12">
        <v>32.942</v>
      </c>
      <c r="J87" s="14"/>
    </row>
    <row r="88" spans="1:10" s="81" customFormat="1">
      <c r="A88" s="90"/>
      <c r="B88" s="161" t="s">
        <v>331</v>
      </c>
      <c r="C88" s="49">
        <v>4805448.716</v>
      </c>
      <c r="D88" s="49">
        <v>4877029.17</v>
      </c>
      <c r="E88" s="31">
        <v>71580.453999999998</v>
      </c>
      <c r="F88" s="30">
        <v>101.5</v>
      </c>
      <c r="G88" s="79">
        <v>126756.242</v>
      </c>
      <c r="H88" s="79">
        <v>174626.22500000001</v>
      </c>
      <c r="I88" s="31">
        <v>47869.983</v>
      </c>
      <c r="J88" s="32">
        <v>137.80000000000001</v>
      </c>
    </row>
    <row r="89" spans="1:10" s="81" customFormat="1">
      <c r="A89" s="90">
        <v>40000000</v>
      </c>
      <c r="B89" s="161" t="s">
        <v>332</v>
      </c>
      <c r="C89" s="49">
        <v>808817.99399999995</v>
      </c>
      <c r="D89" s="79">
        <v>883523.91500000004</v>
      </c>
      <c r="E89" s="31">
        <v>74705.921000000002</v>
      </c>
      <c r="F89" s="30">
        <v>109.2</v>
      </c>
      <c r="G89" s="79"/>
      <c r="H89" s="79">
        <v>188898.97200000001</v>
      </c>
      <c r="I89" s="31">
        <v>188898.97200000001</v>
      </c>
      <c r="J89" s="32"/>
    </row>
    <row r="90" spans="1:10" s="81" customFormat="1" ht="27" customHeight="1">
      <c r="A90" s="89">
        <v>41020000</v>
      </c>
      <c r="B90" s="157" t="s">
        <v>385</v>
      </c>
      <c r="C90" s="82">
        <v>3587.3</v>
      </c>
      <c r="D90" s="82">
        <v>3947.3</v>
      </c>
      <c r="E90" s="12">
        <v>360</v>
      </c>
      <c r="F90" s="13">
        <v>110</v>
      </c>
      <c r="G90" s="82"/>
      <c r="H90" s="82"/>
      <c r="I90" s="12"/>
      <c r="J90" s="14"/>
    </row>
    <row r="91" spans="1:10" s="81" customFormat="1" ht="41.45" customHeight="1">
      <c r="A91" s="89">
        <v>41021000</v>
      </c>
      <c r="B91" s="157" t="s">
        <v>386</v>
      </c>
      <c r="C91" s="11">
        <v>3587.3</v>
      </c>
      <c r="D91" s="82">
        <v>3947.3</v>
      </c>
      <c r="E91" s="12">
        <v>360</v>
      </c>
      <c r="F91" s="13">
        <v>110</v>
      </c>
      <c r="G91" s="82"/>
      <c r="H91" s="82"/>
      <c r="I91" s="12"/>
      <c r="J91" s="14"/>
    </row>
    <row r="92" spans="1:10" s="81" customFormat="1">
      <c r="A92" s="86" t="s">
        <v>429</v>
      </c>
      <c r="B92" s="157" t="s">
        <v>333</v>
      </c>
      <c r="C92" s="11">
        <v>787661.1</v>
      </c>
      <c r="D92" s="82">
        <v>704371.7</v>
      </c>
      <c r="E92" s="12">
        <v>-83289.399999999994</v>
      </c>
      <c r="F92" s="13">
        <v>89.4</v>
      </c>
      <c r="G92" s="82"/>
      <c r="H92" s="82">
        <v>188875.522</v>
      </c>
      <c r="I92" s="12">
        <v>188875.522</v>
      </c>
      <c r="J92" s="14"/>
    </row>
    <row r="93" spans="1:10" s="81" customFormat="1" ht="41.45" customHeight="1">
      <c r="A93" s="86" t="s">
        <v>430</v>
      </c>
      <c r="B93" s="157" t="s">
        <v>431</v>
      </c>
      <c r="C93" s="11"/>
      <c r="D93" s="82"/>
      <c r="E93" s="12"/>
      <c r="F93" s="13"/>
      <c r="G93" s="82"/>
      <c r="H93" s="82">
        <v>188875.522</v>
      </c>
      <c r="I93" s="12">
        <v>188875.522</v>
      </c>
      <c r="J93" s="14"/>
    </row>
    <row r="94" spans="1:10" s="81" customFormat="1" ht="21" customHeight="1">
      <c r="A94" s="86" t="s">
        <v>432</v>
      </c>
      <c r="B94" s="157" t="s">
        <v>334</v>
      </c>
      <c r="C94" s="11">
        <v>787661.1</v>
      </c>
      <c r="D94" s="82">
        <v>704371.7</v>
      </c>
      <c r="E94" s="12">
        <v>-83289.399999999994</v>
      </c>
      <c r="F94" s="13">
        <v>89.4</v>
      </c>
      <c r="G94" s="82"/>
      <c r="H94" s="82"/>
      <c r="I94" s="12"/>
      <c r="J94" s="14"/>
    </row>
    <row r="95" spans="1:10" s="81" customFormat="1">
      <c r="A95" s="86" t="s">
        <v>433</v>
      </c>
      <c r="B95" s="157" t="s">
        <v>434</v>
      </c>
      <c r="C95" s="11">
        <v>1010.921</v>
      </c>
      <c r="D95" s="82">
        <v>3431.4270000000001</v>
      </c>
      <c r="E95" s="12">
        <v>2420.5059999999999</v>
      </c>
      <c r="F95" s="13" t="s">
        <v>435</v>
      </c>
      <c r="G95" s="82"/>
      <c r="H95" s="82"/>
      <c r="I95" s="12"/>
      <c r="J95" s="14"/>
    </row>
    <row r="96" spans="1:10" s="81" customFormat="1">
      <c r="A96" s="86" t="s">
        <v>436</v>
      </c>
      <c r="B96" s="157" t="s">
        <v>387</v>
      </c>
      <c r="C96" s="11">
        <v>1010.921</v>
      </c>
      <c r="D96" s="82">
        <v>3431.4270000000001</v>
      </c>
      <c r="E96" s="12">
        <v>2420.5059999999999</v>
      </c>
      <c r="F96" s="13" t="s">
        <v>435</v>
      </c>
      <c r="G96" s="82"/>
      <c r="H96" s="82"/>
      <c r="I96" s="12"/>
      <c r="J96" s="14"/>
    </row>
    <row r="97" spans="1:10" s="81" customFormat="1">
      <c r="A97" s="86" t="s">
        <v>437</v>
      </c>
      <c r="B97" s="157" t="s">
        <v>335</v>
      </c>
      <c r="C97" s="11">
        <v>16558.672999999999</v>
      </c>
      <c r="D97" s="82">
        <v>171773.48800000001</v>
      </c>
      <c r="E97" s="12">
        <v>155214.815</v>
      </c>
      <c r="F97" s="13" t="s">
        <v>438</v>
      </c>
      <c r="G97" s="82"/>
      <c r="H97" s="82">
        <v>23.45</v>
      </c>
      <c r="I97" s="12">
        <f t="shared" ref="I97" si="0">SUM(H97-G97)</f>
        <v>23.45</v>
      </c>
      <c r="J97" s="14"/>
    </row>
    <row r="98" spans="1:10" s="81" customFormat="1" ht="225">
      <c r="A98" s="86" t="s">
        <v>439</v>
      </c>
      <c r="B98" s="160" t="s">
        <v>440</v>
      </c>
      <c r="C98" s="11"/>
      <c r="D98" s="82">
        <v>14017.012000000001</v>
      </c>
      <c r="E98" s="12">
        <v>14017.012000000001</v>
      </c>
      <c r="F98" s="13" t="s">
        <v>441</v>
      </c>
      <c r="G98" s="82"/>
      <c r="H98" s="82"/>
      <c r="I98" s="12"/>
      <c r="J98" s="14"/>
    </row>
    <row r="99" spans="1:10" s="81" customFormat="1" ht="225">
      <c r="A99" s="86" t="s">
        <v>442</v>
      </c>
      <c r="B99" s="160" t="s">
        <v>443</v>
      </c>
      <c r="C99" s="11"/>
      <c r="D99" s="82">
        <v>135447.59099999999</v>
      </c>
      <c r="E99" s="12">
        <v>135447.59099999999</v>
      </c>
      <c r="F99" s="13"/>
      <c r="G99" s="82"/>
      <c r="H99" s="82"/>
      <c r="I99" s="12"/>
      <c r="J99" s="14"/>
    </row>
    <row r="100" spans="1:10" s="81" customFormat="1" ht="24.6" customHeight="1">
      <c r="A100" s="86" t="s">
        <v>444</v>
      </c>
      <c r="B100" s="157" t="s">
        <v>336</v>
      </c>
      <c r="C100" s="11">
        <v>9584.616</v>
      </c>
      <c r="D100" s="82">
        <v>12375.13</v>
      </c>
      <c r="E100" s="12">
        <v>2790.5140000000001</v>
      </c>
      <c r="F100" s="13">
        <v>129.1</v>
      </c>
      <c r="G100" s="82"/>
      <c r="H100" s="82">
        <v>23.45</v>
      </c>
      <c r="I100" s="12">
        <f t="shared" ref="I100" si="1">SUM(H100-G100)</f>
        <v>23.45</v>
      </c>
      <c r="J100" s="14"/>
    </row>
    <row r="101" spans="1:10" s="81" customFormat="1" ht="37.5">
      <c r="A101" s="86" t="s">
        <v>337</v>
      </c>
      <c r="B101" s="157" t="s">
        <v>338</v>
      </c>
      <c r="C101" s="11"/>
      <c r="D101" s="82">
        <v>4129.0469999999996</v>
      </c>
      <c r="E101" s="12">
        <v>4129.0469999999996</v>
      </c>
      <c r="F101" s="13"/>
      <c r="G101" s="82"/>
      <c r="H101" s="82"/>
      <c r="I101" s="12"/>
      <c r="J101" s="14"/>
    </row>
    <row r="102" spans="1:10" s="81" customFormat="1">
      <c r="A102" s="86" t="s">
        <v>339</v>
      </c>
      <c r="B102" s="157" t="s">
        <v>206</v>
      </c>
      <c r="C102" s="11">
        <v>6974.0569999999998</v>
      </c>
      <c r="D102" s="82">
        <v>5736.0460000000003</v>
      </c>
      <c r="E102" s="12">
        <v>-1238.011</v>
      </c>
      <c r="F102" s="13">
        <v>82.2</v>
      </c>
      <c r="G102" s="82"/>
      <c r="H102" s="82"/>
      <c r="I102" s="12"/>
      <c r="J102" s="14"/>
    </row>
    <row r="103" spans="1:10" s="81" customFormat="1" ht="56.25">
      <c r="A103" s="86" t="s">
        <v>445</v>
      </c>
      <c r="B103" s="157" t="s">
        <v>446</v>
      </c>
      <c r="C103" s="11"/>
      <c r="D103" s="82">
        <v>68.662000000000006</v>
      </c>
      <c r="E103" s="12"/>
      <c r="F103" s="13"/>
      <c r="G103" s="82"/>
      <c r="H103" s="82"/>
      <c r="I103" s="12"/>
      <c r="J103" s="14"/>
    </row>
    <row r="104" spans="1:10" s="81" customFormat="1">
      <c r="A104" s="86"/>
      <c r="B104" s="161" t="s">
        <v>340</v>
      </c>
      <c r="C104" s="49">
        <v>5614266.71</v>
      </c>
      <c r="D104" s="79">
        <v>5760553.085</v>
      </c>
      <c r="E104" s="31">
        <v>146286.375</v>
      </c>
      <c r="F104" s="30">
        <v>102.6</v>
      </c>
      <c r="G104" s="79">
        <v>126756.242</v>
      </c>
      <c r="H104" s="79">
        <v>363525.19699999999</v>
      </c>
      <c r="I104" s="31">
        <v>236768.95499999999</v>
      </c>
      <c r="J104" s="32" t="s">
        <v>378</v>
      </c>
    </row>
    <row r="105" spans="1:10" s="81" customFormat="1" ht="22.5">
      <c r="A105" s="172" t="s">
        <v>392</v>
      </c>
      <c r="B105" s="173"/>
      <c r="C105" s="173"/>
      <c r="D105" s="173"/>
      <c r="E105" s="173"/>
      <c r="F105" s="173"/>
      <c r="G105" s="173"/>
      <c r="H105" s="173"/>
      <c r="I105" s="173"/>
      <c r="J105" s="174"/>
    </row>
    <row r="106" spans="1:10" s="81" customFormat="1" ht="20.25">
      <c r="A106" s="15" t="s">
        <v>32</v>
      </c>
      <c r="B106" s="52" t="s">
        <v>4</v>
      </c>
      <c r="C106" s="31">
        <f>SUM(C107:C109)</f>
        <v>264510.37099999998</v>
      </c>
      <c r="D106" s="31">
        <f>SUM(D107:D109)</f>
        <v>396783.08600000001</v>
      </c>
      <c r="E106" s="31">
        <f t="shared" ref="E106:E111" si="2">SUM(D106-C106)</f>
        <v>132272.71500000003</v>
      </c>
      <c r="F106" s="30">
        <f t="shared" ref="F106:F110" si="3">SUM(D106/C106*100)</f>
        <v>150.0066271503585</v>
      </c>
      <c r="G106" s="31">
        <f>SUM(G107:G109)</f>
        <v>6044.24</v>
      </c>
      <c r="H106" s="31">
        <f>SUM(H107:H109)</f>
        <v>31090.152999999998</v>
      </c>
      <c r="I106" s="31">
        <f>SUM(H106-G106)</f>
        <v>25045.913</v>
      </c>
      <c r="J106" s="30" t="s">
        <v>447</v>
      </c>
    </row>
    <row r="107" spans="1:10" s="81" customFormat="1">
      <c r="A107" s="17" t="s">
        <v>132</v>
      </c>
      <c r="B107" s="20" t="s">
        <v>5</v>
      </c>
      <c r="C107" s="50">
        <f>264510.371-86.637</f>
        <v>264423.734</v>
      </c>
      <c r="D107" s="50">
        <f>396783.086-1222.542-3.86</f>
        <v>395556.68400000001</v>
      </c>
      <c r="E107" s="12">
        <f t="shared" si="2"/>
        <v>131132.95000000001</v>
      </c>
      <c r="F107" s="13">
        <f t="shared" si="3"/>
        <v>149.59197422119453</v>
      </c>
      <c r="G107" s="50">
        <v>6044.24</v>
      </c>
      <c r="H107" s="50">
        <v>31090.152999999998</v>
      </c>
      <c r="I107" s="12">
        <f>SUM(H107-G107)</f>
        <v>25045.913</v>
      </c>
      <c r="J107" s="13" t="s">
        <v>447</v>
      </c>
    </row>
    <row r="108" spans="1:10" s="81" customFormat="1">
      <c r="A108" s="17" t="s">
        <v>506</v>
      </c>
      <c r="B108" s="20" t="s">
        <v>507</v>
      </c>
      <c r="C108" s="50"/>
      <c r="D108" s="50">
        <v>3.86</v>
      </c>
      <c r="E108" s="12">
        <f t="shared" si="2"/>
        <v>3.86</v>
      </c>
      <c r="F108" s="13"/>
      <c r="G108" s="50"/>
      <c r="H108" s="50"/>
      <c r="I108" s="12"/>
      <c r="J108" s="13"/>
    </row>
    <row r="109" spans="1:10" s="81" customFormat="1">
      <c r="A109" s="17" t="s">
        <v>216</v>
      </c>
      <c r="B109" s="20" t="s">
        <v>217</v>
      </c>
      <c r="C109" s="50">
        <v>86.637</v>
      </c>
      <c r="D109" s="50">
        <v>1222.5419999999999</v>
      </c>
      <c r="E109" s="12">
        <f t="shared" si="2"/>
        <v>1135.905</v>
      </c>
      <c r="F109" s="13" t="s">
        <v>448</v>
      </c>
      <c r="G109" s="50"/>
      <c r="H109" s="50"/>
      <c r="I109" s="12"/>
      <c r="J109" s="14"/>
    </row>
    <row r="110" spans="1:10" s="81" customFormat="1" ht="20.25">
      <c r="A110" s="15" t="s">
        <v>33</v>
      </c>
      <c r="B110" s="16" t="s">
        <v>6</v>
      </c>
      <c r="C110" s="31">
        <f>C111+C112+C116+C120+C123+C124+C125+C128+C130+C133+C136+C137</f>
        <v>1749360.7289999998</v>
      </c>
      <c r="D110" s="31">
        <f>D111+D112+D116+D120+D123+D124+D125+D128+D130+D133+D136+D137+D129</f>
        <v>1803548.0250000001</v>
      </c>
      <c r="E110" s="31">
        <f t="shared" si="2"/>
        <v>54187.296000000322</v>
      </c>
      <c r="F110" s="30">
        <f t="shared" si="3"/>
        <v>103.09754844165136</v>
      </c>
      <c r="G110" s="31">
        <f>G111+G112+G116+G120+G123+G124+G125+G128+G130+G133+G136+G137</f>
        <v>51954.496000000006</v>
      </c>
      <c r="H110" s="31">
        <f>H111+H112+H116+H120+H123+H124+H125+H128+H130+H133+H136+H137+H129+H138</f>
        <v>132275.52899999998</v>
      </c>
      <c r="I110" s="31">
        <f t="shared" ref="I110:I115" si="4">SUM(H110-G110)</f>
        <v>80321.032999999967</v>
      </c>
      <c r="J110" s="32" t="s">
        <v>364</v>
      </c>
    </row>
    <row r="111" spans="1:10" s="81" customFormat="1">
      <c r="A111" s="17" t="s">
        <v>34</v>
      </c>
      <c r="B111" s="20" t="s">
        <v>226</v>
      </c>
      <c r="C111" s="11">
        <v>417290.41200000001</v>
      </c>
      <c r="D111" s="11">
        <f>466355.833+3249.352</f>
        <v>469605.185</v>
      </c>
      <c r="E111" s="12">
        <f t="shared" si="2"/>
        <v>52314.772999999986</v>
      </c>
      <c r="F111" s="13">
        <f>SUM(D111/C111*100)</f>
        <v>112.53677810359083</v>
      </c>
      <c r="G111" s="11">
        <v>9342.9940000000006</v>
      </c>
      <c r="H111" s="91">
        <f>21996.031+98.788</f>
        <v>22094.819</v>
      </c>
      <c r="I111" s="12">
        <f t="shared" si="4"/>
        <v>12751.824999999999</v>
      </c>
      <c r="J111" s="14" t="s">
        <v>485</v>
      </c>
    </row>
    <row r="112" spans="1:10" s="81" customFormat="1">
      <c r="A112" s="17" t="s">
        <v>35</v>
      </c>
      <c r="B112" s="20" t="s">
        <v>237</v>
      </c>
      <c r="C112" s="11">
        <f>SUM(C113:C115)</f>
        <v>243936.23800000001</v>
      </c>
      <c r="D112" s="11">
        <f>SUM(D113:D115)</f>
        <v>300341.42700000003</v>
      </c>
      <c r="E112" s="12">
        <f t="shared" ref="E112:E137" si="5">SUM(D112-C112)</f>
        <v>56405.189000000013</v>
      </c>
      <c r="F112" s="13">
        <f t="shared" ref="F112:F136" si="6">SUM(D112/C112*100)</f>
        <v>123.12292321241752</v>
      </c>
      <c r="G112" s="11">
        <f>SUM(G113:G115)</f>
        <v>17294.803000000004</v>
      </c>
      <c r="H112" s="11">
        <f>SUM(H113:H115)</f>
        <v>71460.142999999996</v>
      </c>
      <c r="I112" s="12">
        <f t="shared" si="4"/>
        <v>54165.34</v>
      </c>
      <c r="J112" s="14" t="s">
        <v>408</v>
      </c>
    </row>
    <row r="113" spans="1:13" s="81" customFormat="1" ht="37.5">
      <c r="A113" s="17" t="s">
        <v>350</v>
      </c>
      <c r="B113" s="20" t="s">
        <v>449</v>
      </c>
      <c r="C113" s="11">
        <v>231036.649</v>
      </c>
      <c r="D113" s="76">
        <f>286535.106+3151.084</f>
        <v>289686.19</v>
      </c>
      <c r="E113" s="12">
        <f t="shared" si="5"/>
        <v>58649.540999999997</v>
      </c>
      <c r="F113" s="13">
        <f t="shared" si="6"/>
        <v>125.38538420369835</v>
      </c>
      <c r="G113" s="11">
        <f>13906.592+3020.454</f>
        <v>16927.046000000002</v>
      </c>
      <c r="H113" s="11">
        <f>63483.083+7502.827</f>
        <v>70985.91</v>
      </c>
      <c r="I113" s="12">
        <f t="shared" si="4"/>
        <v>54058.864000000001</v>
      </c>
      <c r="J113" s="14" t="s">
        <v>498</v>
      </c>
    </row>
    <row r="114" spans="1:13" s="80" customFormat="1" ht="56.25">
      <c r="A114" s="17" t="s">
        <v>239</v>
      </c>
      <c r="B114" s="20" t="s">
        <v>450</v>
      </c>
      <c r="C114" s="11">
        <v>9232.7929999999997</v>
      </c>
      <c r="D114" s="76">
        <f>10650.065+5.172</f>
        <v>10655.237000000001</v>
      </c>
      <c r="E114" s="12">
        <f t="shared" si="5"/>
        <v>1422.4440000000013</v>
      </c>
      <c r="F114" s="13">
        <f t="shared" si="6"/>
        <v>115.40643226811216</v>
      </c>
      <c r="G114" s="11">
        <v>46.683999999999997</v>
      </c>
      <c r="H114" s="91">
        <v>474.233</v>
      </c>
      <c r="I114" s="12">
        <f t="shared" si="4"/>
        <v>427.54899999999998</v>
      </c>
      <c r="J114" s="14" t="s">
        <v>451</v>
      </c>
    </row>
    <row r="115" spans="1:13" ht="37.5">
      <c r="A115" s="17" t="s">
        <v>240</v>
      </c>
      <c r="B115" s="20" t="s">
        <v>452</v>
      </c>
      <c r="C115" s="11">
        <v>3666.7959999999998</v>
      </c>
      <c r="D115" s="76">
        <v>0</v>
      </c>
      <c r="E115" s="12">
        <f t="shared" si="5"/>
        <v>-3666.7959999999998</v>
      </c>
      <c r="F115" s="13"/>
      <c r="G115" s="11">
        <v>321.07299999999998</v>
      </c>
      <c r="H115" s="91"/>
      <c r="I115" s="12">
        <f t="shared" si="4"/>
        <v>-321.07299999999998</v>
      </c>
      <c r="J115" s="14"/>
    </row>
    <row r="116" spans="1:13">
      <c r="A116" s="17" t="s">
        <v>36</v>
      </c>
      <c r="B116" s="22" t="s">
        <v>241</v>
      </c>
      <c r="C116" s="11">
        <f>SUM(C117:C119)</f>
        <v>765230.52499999991</v>
      </c>
      <c r="D116" s="11">
        <f>SUM(D117:D119)</f>
        <v>681847.39599999995</v>
      </c>
      <c r="E116" s="12">
        <f t="shared" si="5"/>
        <v>-83383.128999999957</v>
      </c>
      <c r="F116" s="13">
        <f t="shared" si="6"/>
        <v>89.103528116576385</v>
      </c>
      <c r="G116" s="36"/>
      <c r="H116" s="36"/>
      <c r="I116" s="39"/>
      <c r="J116" s="14"/>
      <c r="L116" s="96"/>
      <c r="M116" s="96"/>
    </row>
    <row r="117" spans="1:13" ht="37.5">
      <c r="A117" s="17" t="s">
        <v>242</v>
      </c>
      <c r="B117" s="20" t="s">
        <v>453</v>
      </c>
      <c r="C117" s="11">
        <v>737598.28200000001</v>
      </c>
      <c r="D117" s="76">
        <v>674774.54399999999</v>
      </c>
      <c r="E117" s="12">
        <f t="shared" si="5"/>
        <v>-62823.738000000012</v>
      </c>
      <c r="F117" s="13">
        <f t="shared" si="6"/>
        <v>91.482662103055162</v>
      </c>
      <c r="G117" s="11"/>
      <c r="H117" s="11"/>
      <c r="I117" s="39"/>
      <c r="J117" s="14"/>
    </row>
    <row r="118" spans="1:13" ht="56.25">
      <c r="A118" s="17" t="s">
        <v>243</v>
      </c>
      <c r="B118" s="20" t="s">
        <v>454</v>
      </c>
      <c r="C118" s="82">
        <v>9351.4449999999997</v>
      </c>
      <c r="D118" s="82">
        <v>7072.8519999999999</v>
      </c>
      <c r="E118" s="12">
        <f t="shared" si="5"/>
        <v>-2278.5929999999998</v>
      </c>
      <c r="F118" s="102">
        <f t="shared" si="6"/>
        <v>75.633787077825943</v>
      </c>
      <c r="G118" s="11"/>
      <c r="H118" s="11"/>
      <c r="I118" s="39"/>
      <c r="J118" s="14"/>
    </row>
    <row r="119" spans="1:13" ht="37.5">
      <c r="A119" s="17" t="s">
        <v>244</v>
      </c>
      <c r="B119" s="38" t="s">
        <v>455</v>
      </c>
      <c r="C119" s="11">
        <v>18280.797999999999</v>
      </c>
      <c r="D119" s="76"/>
      <c r="E119" s="12">
        <f t="shared" si="5"/>
        <v>-18280.797999999999</v>
      </c>
      <c r="F119" s="13"/>
      <c r="G119" s="11"/>
      <c r="H119" s="11"/>
      <c r="I119" s="39"/>
      <c r="J119" s="14"/>
      <c r="L119" s="96"/>
      <c r="M119" s="96"/>
    </row>
    <row r="120" spans="1:13" ht="75">
      <c r="A120" s="17" t="s">
        <v>347</v>
      </c>
      <c r="B120" s="22" t="s">
        <v>456</v>
      </c>
      <c r="C120" s="11"/>
      <c r="D120" s="11"/>
      <c r="E120" s="12"/>
      <c r="F120" s="13"/>
      <c r="G120" s="11">
        <f>G121+G122</f>
        <v>16386.807000000001</v>
      </c>
      <c r="H120" s="11"/>
      <c r="I120" s="12">
        <f t="shared" ref="I120:I122" si="7">SUM(H120-G120)</f>
        <v>-16386.807000000001</v>
      </c>
      <c r="J120" s="14"/>
    </row>
    <row r="121" spans="1:13" s="37" customFormat="1">
      <c r="A121" s="17" t="s">
        <v>348</v>
      </c>
      <c r="B121" s="20" t="s">
        <v>238</v>
      </c>
      <c r="C121" s="11"/>
      <c r="D121" s="11"/>
      <c r="E121" s="12"/>
      <c r="F121" s="13"/>
      <c r="G121" s="11">
        <v>16338.746999999999</v>
      </c>
      <c r="H121" s="91"/>
      <c r="I121" s="12">
        <f t="shared" si="7"/>
        <v>-16338.746999999999</v>
      </c>
      <c r="J121" s="14"/>
    </row>
    <row r="122" spans="1:13" ht="37.5">
      <c r="A122" s="17" t="s">
        <v>349</v>
      </c>
      <c r="B122" s="20" t="s">
        <v>227</v>
      </c>
      <c r="C122" s="11"/>
      <c r="D122" s="11"/>
      <c r="E122" s="12"/>
      <c r="F122" s="13"/>
      <c r="G122" s="11">
        <v>48.06</v>
      </c>
      <c r="H122" s="91"/>
      <c r="I122" s="12">
        <f t="shared" si="7"/>
        <v>-48.06</v>
      </c>
      <c r="J122" s="14"/>
    </row>
    <row r="123" spans="1:13" ht="37.5">
      <c r="A123" s="17" t="s">
        <v>245</v>
      </c>
      <c r="B123" s="20" t="s">
        <v>246</v>
      </c>
      <c r="C123" s="11">
        <v>39238.442000000003</v>
      </c>
      <c r="D123" s="76">
        <v>38569.480000000003</v>
      </c>
      <c r="E123" s="12">
        <f t="shared" si="5"/>
        <v>-668.96199999999953</v>
      </c>
      <c r="F123" s="13">
        <f t="shared" si="6"/>
        <v>98.295136183031943</v>
      </c>
      <c r="G123" s="11">
        <v>5.8650000000000002</v>
      </c>
      <c r="H123" s="11">
        <v>1694.8219999999999</v>
      </c>
      <c r="I123" s="12">
        <f>SUM(H123-G123)</f>
        <v>1688.9569999999999</v>
      </c>
      <c r="J123" s="14" t="s">
        <v>457</v>
      </c>
    </row>
    <row r="124" spans="1:13">
      <c r="A124" s="33" t="s">
        <v>233</v>
      </c>
      <c r="B124" s="34" t="s">
        <v>228</v>
      </c>
      <c r="C124" s="11">
        <v>58426.260999999999</v>
      </c>
      <c r="D124" s="76">
        <v>68879.198999999993</v>
      </c>
      <c r="E124" s="12">
        <f t="shared" si="5"/>
        <v>10452.937999999995</v>
      </c>
      <c r="F124" s="13">
        <f t="shared" si="6"/>
        <v>117.89082138937488</v>
      </c>
      <c r="G124" s="11">
        <v>2556.12</v>
      </c>
      <c r="H124" s="91">
        <v>3541.1880000000001</v>
      </c>
      <c r="I124" s="12">
        <f>SUM(H124-G124)</f>
        <v>985.06800000000021</v>
      </c>
      <c r="J124" s="14">
        <f t="shared" ref="J124" si="8">SUM(H124/G124*100)</f>
        <v>138.53762734143936</v>
      </c>
    </row>
    <row r="125" spans="1:13" s="37" customFormat="1" ht="37.5">
      <c r="A125" s="33" t="s">
        <v>37</v>
      </c>
      <c r="B125" s="27" t="s">
        <v>229</v>
      </c>
      <c r="C125" s="11">
        <f>SUM(C126:C127)</f>
        <v>181128.492</v>
      </c>
      <c r="D125" s="11">
        <f>SUM(D126:D127)</f>
        <v>185271.76300000001</v>
      </c>
      <c r="E125" s="12">
        <f t="shared" si="5"/>
        <v>4143.2710000000079</v>
      </c>
      <c r="F125" s="13">
        <f t="shared" si="6"/>
        <v>102.28747611943902</v>
      </c>
      <c r="G125" s="11">
        <f>G126</f>
        <v>5882.0640000000003</v>
      </c>
      <c r="H125" s="11">
        <f>H126</f>
        <v>22236.528999999999</v>
      </c>
      <c r="I125" s="12">
        <f>SUM(H125-G125)</f>
        <v>16354.464999999998</v>
      </c>
      <c r="J125" s="14" t="s">
        <v>383</v>
      </c>
    </row>
    <row r="126" spans="1:13" ht="37.5">
      <c r="A126" s="33" t="s">
        <v>247</v>
      </c>
      <c r="B126" s="27" t="s">
        <v>248</v>
      </c>
      <c r="C126" s="11">
        <v>163838.1</v>
      </c>
      <c r="D126" s="11">
        <v>170138.72500000001</v>
      </c>
      <c r="E126" s="12">
        <f t="shared" si="5"/>
        <v>6300.625</v>
      </c>
      <c r="F126" s="13">
        <f t="shared" si="6"/>
        <v>103.84564091014239</v>
      </c>
      <c r="G126" s="11">
        <v>5882.0640000000003</v>
      </c>
      <c r="H126" s="91">
        <v>22236.528999999999</v>
      </c>
      <c r="I126" s="12">
        <f>SUM(H126-G126)</f>
        <v>16354.464999999998</v>
      </c>
      <c r="J126" s="14" t="s">
        <v>383</v>
      </c>
    </row>
    <row r="127" spans="1:13" ht="37.5">
      <c r="A127" s="33" t="s">
        <v>249</v>
      </c>
      <c r="B127" s="27" t="s">
        <v>261</v>
      </c>
      <c r="C127" s="11">
        <v>17290.392</v>
      </c>
      <c r="D127" s="11">
        <v>15133.038</v>
      </c>
      <c r="E127" s="12">
        <f t="shared" si="5"/>
        <v>-2157.3539999999994</v>
      </c>
      <c r="F127" s="13">
        <f t="shared" si="6"/>
        <v>87.522816139738197</v>
      </c>
      <c r="G127" s="11"/>
      <c r="H127" s="11"/>
      <c r="I127" s="12"/>
      <c r="J127" s="14"/>
    </row>
    <row r="128" spans="1:13">
      <c r="A128" s="17" t="s">
        <v>250</v>
      </c>
      <c r="B128" s="28" t="s">
        <v>458</v>
      </c>
      <c r="C128" s="11">
        <v>5976.1409999999996</v>
      </c>
      <c r="D128" s="76">
        <v>7251.6130000000003</v>
      </c>
      <c r="E128" s="12">
        <f t="shared" si="5"/>
        <v>1275.4720000000007</v>
      </c>
      <c r="F128" s="13">
        <f t="shared" si="6"/>
        <v>121.34273605659574</v>
      </c>
      <c r="G128" s="11">
        <v>2.863</v>
      </c>
      <c r="H128" s="91">
        <v>695.63300000000004</v>
      </c>
      <c r="I128" s="12">
        <f>SUM(H128-G128)</f>
        <v>692.77</v>
      </c>
      <c r="J128" s="14" t="s">
        <v>459</v>
      </c>
    </row>
    <row r="129" spans="1:10" s="37" customFormat="1">
      <c r="A129" s="17" t="s">
        <v>460</v>
      </c>
      <c r="B129" s="103" t="s">
        <v>461</v>
      </c>
      <c r="C129" s="11"/>
      <c r="D129" s="76">
        <v>168.29</v>
      </c>
      <c r="E129" s="12">
        <f t="shared" si="5"/>
        <v>168.29</v>
      </c>
      <c r="F129" s="13"/>
      <c r="G129" s="11"/>
      <c r="H129" s="91"/>
      <c r="I129" s="12"/>
      <c r="J129" s="14"/>
    </row>
    <row r="130" spans="1:10">
      <c r="A130" s="33" t="s">
        <v>251</v>
      </c>
      <c r="B130" s="27" t="s">
        <v>199</v>
      </c>
      <c r="C130" s="11">
        <f>C131+C132</f>
        <v>23383.589</v>
      </c>
      <c r="D130" s="11">
        <f>D131+D132</f>
        <v>31471.316999999999</v>
      </c>
      <c r="E130" s="12">
        <f t="shared" si="5"/>
        <v>8087.7279999999992</v>
      </c>
      <c r="F130" s="13">
        <f t="shared" si="6"/>
        <v>134.58719702950646</v>
      </c>
      <c r="G130" s="11">
        <f>G131+G132</f>
        <v>482.98</v>
      </c>
      <c r="H130" s="11">
        <f>H131+H132</f>
        <v>10027.004000000001</v>
      </c>
      <c r="I130" s="12">
        <f>SUM(H130-G130)</f>
        <v>9544.0240000000013</v>
      </c>
      <c r="J130" s="14" t="s">
        <v>499</v>
      </c>
    </row>
    <row r="131" spans="1:10">
      <c r="A131" s="33" t="s">
        <v>252</v>
      </c>
      <c r="B131" s="28" t="s">
        <v>133</v>
      </c>
      <c r="C131" s="11">
        <v>23215.258999999998</v>
      </c>
      <c r="D131" s="76">
        <v>30824.050999999999</v>
      </c>
      <c r="E131" s="12">
        <f t="shared" si="5"/>
        <v>7608.7920000000013</v>
      </c>
      <c r="F131" s="13">
        <f t="shared" si="6"/>
        <v>132.77496064118864</v>
      </c>
      <c r="G131" s="11">
        <v>482.98</v>
      </c>
      <c r="H131" s="91">
        <v>10027.004000000001</v>
      </c>
      <c r="I131" s="12">
        <f>SUM(H131-G131)</f>
        <v>9544.0240000000013</v>
      </c>
      <c r="J131" s="14" t="s">
        <v>499</v>
      </c>
    </row>
    <row r="132" spans="1:10">
      <c r="A132" s="33" t="s">
        <v>253</v>
      </c>
      <c r="B132" s="28" t="s">
        <v>134</v>
      </c>
      <c r="C132" s="11">
        <v>168.33</v>
      </c>
      <c r="D132" s="76">
        <v>647.26599999999996</v>
      </c>
      <c r="E132" s="12">
        <f t="shared" si="5"/>
        <v>478.93599999999992</v>
      </c>
      <c r="F132" s="13" t="s">
        <v>383</v>
      </c>
      <c r="G132" s="11"/>
      <c r="H132" s="11"/>
      <c r="I132" s="12"/>
      <c r="J132" s="14"/>
    </row>
    <row r="133" spans="1:10">
      <c r="A133" s="33" t="s">
        <v>108</v>
      </c>
      <c r="B133" s="27" t="s">
        <v>221</v>
      </c>
      <c r="C133" s="11">
        <f>SUM(C134:C135)</f>
        <v>11676.523999999999</v>
      </c>
      <c r="D133" s="11">
        <f>SUM(D134:D135)</f>
        <v>14897.957999999999</v>
      </c>
      <c r="E133" s="12">
        <f t="shared" si="5"/>
        <v>3221.4339999999993</v>
      </c>
      <c r="F133" s="13">
        <f t="shared" si="6"/>
        <v>127.58898110430809</v>
      </c>
      <c r="G133" s="11"/>
      <c r="H133" s="11">
        <f>SUM(H134:H135)</f>
        <v>381.89100000000002</v>
      </c>
      <c r="I133" s="12">
        <f t="shared" ref="I133:I134" si="9">SUM(H133-G133)</f>
        <v>381.89100000000002</v>
      </c>
      <c r="J133" s="14"/>
    </row>
    <row r="134" spans="1:10" s="37" customFormat="1">
      <c r="A134" s="33" t="s">
        <v>254</v>
      </c>
      <c r="B134" s="27" t="s">
        <v>255</v>
      </c>
      <c r="C134" s="11">
        <v>2091.9079999999999</v>
      </c>
      <c r="D134" s="76">
        <v>4033.328</v>
      </c>
      <c r="E134" s="12">
        <f t="shared" si="5"/>
        <v>1941.42</v>
      </c>
      <c r="F134" s="13" t="s">
        <v>421</v>
      </c>
      <c r="G134" s="11"/>
      <c r="H134" s="11">
        <v>381.89100000000002</v>
      </c>
      <c r="I134" s="12">
        <f t="shared" si="9"/>
        <v>381.89100000000002</v>
      </c>
      <c r="J134" s="14"/>
    </row>
    <row r="135" spans="1:10">
      <c r="A135" s="33" t="s">
        <v>256</v>
      </c>
      <c r="B135" s="27" t="s">
        <v>257</v>
      </c>
      <c r="C135" s="11">
        <v>9584.616</v>
      </c>
      <c r="D135" s="76">
        <v>10864.63</v>
      </c>
      <c r="E135" s="12">
        <f t="shared" si="5"/>
        <v>1280.0139999999992</v>
      </c>
      <c r="F135" s="13">
        <f t="shared" si="6"/>
        <v>113.35488036244747</v>
      </c>
      <c r="G135" s="11"/>
      <c r="H135" s="11"/>
      <c r="I135" s="12"/>
      <c r="J135" s="14"/>
    </row>
    <row r="136" spans="1:10">
      <c r="A136" s="17" t="s">
        <v>103</v>
      </c>
      <c r="B136" s="28" t="s">
        <v>258</v>
      </c>
      <c r="C136" s="11">
        <v>3074.105</v>
      </c>
      <c r="D136" s="76">
        <v>2932.86</v>
      </c>
      <c r="E136" s="12">
        <f t="shared" si="5"/>
        <v>-141.24499999999989</v>
      </c>
      <c r="F136" s="13">
        <f t="shared" si="6"/>
        <v>95.405329356023955</v>
      </c>
      <c r="G136" s="11"/>
      <c r="H136" s="11">
        <v>120.05</v>
      </c>
      <c r="I136" s="12">
        <f>SUM(H136-G136)</f>
        <v>120.05</v>
      </c>
      <c r="J136" s="14"/>
    </row>
    <row r="137" spans="1:10" ht="37.5">
      <c r="A137" s="17" t="s">
        <v>259</v>
      </c>
      <c r="B137" s="28" t="s">
        <v>260</v>
      </c>
      <c r="C137" s="11"/>
      <c r="D137" s="11">
        <v>2311.5369999999998</v>
      </c>
      <c r="E137" s="12">
        <f t="shared" si="5"/>
        <v>2311.5369999999998</v>
      </c>
      <c r="F137" s="13"/>
      <c r="G137" s="11"/>
      <c r="H137" s="11"/>
      <c r="I137" s="39"/>
      <c r="J137" s="14"/>
    </row>
    <row r="138" spans="1:10" s="37" customFormat="1" ht="37.5">
      <c r="A138" s="17" t="s">
        <v>462</v>
      </c>
      <c r="B138" s="28" t="s">
        <v>463</v>
      </c>
      <c r="C138" s="11"/>
      <c r="D138" s="11"/>
      <c r="E138" s="12"/>
      <c r="F138" s="13"/>
      <c r="G138" s="11"/>
      <c r="H138" s="11">
        <v>23.45</v>
      </c>
      <c r="I138" s="12">
        <f>SUM(H138-G138)</f>
        <v>23.45</v>
      </c>
      <c r="J138" s="14"/>
    </row>
    <row r="139" spans="1:10" ht="20.25">
      <c r="A139" s="29" t="s">
        <v>38</v>
      </c>
      <c r="B139" s="16" t="s">
        <v>7</v>
      </c>
      <c r="C139" s="31">
        <f>SUM(C140:C143)+C144+C146</f>
        <v>132645.41500000001</v>
      </c>
      <c r="D139" s="31">
        <f>SUM(D140:D143)+D144+D146</f>
        <v>143386.26700000002</v>
      </c>
      <c r="E139" s="31">
        <f t="shared" ref="E139:E145" si="10">SUM(D139-C139)</f>
        <v>10740.852000000014</v>
      </c>
      <c r="F139" s="30">
        <f t="shared" ref="F139:F145" si="11">SUM(D139/C139*100)</f>
        <v>108.09741671055875</v>
      </c>
      <c r="G139" s="31">
        <f>SUM(G140:G145)+G146</f>
        <v>61358.354999999996</v>
      </c>
      <c r="H139" s="31">
        <f>SUM(H140:H144)+H146</f>
        <v>137011.209</v>
      </c>
      <c r="I139" s="31">
        <f t="shared" ref="I139:I142" si="12">SUM(H139-G139)</f>
        <v>75652.854000000007</v>
      </c>
      <c r="J139" s="32" t="s">
        <v>384</v>
      </c>
    </row>
    <row r="140" spans="1:10">
      <c r="A140" s="17" t="s">
        <v>39</v>
      </c>
      <c r="B140" s="38" t="s">
        <v>40</v>
      </c>
      <c r="C140" s="11">
        <v>90718.937999999995</v>
      </c>
      <c r="D140" s="76">
        <f>97619.092+1380.96</f>
        <v>99000.052000000011</v>
      </c>
      <c r="E140" s="12">
        <f t="shared" si="10"/>
        <v>8281.1140000000159</v>
      </c>
      <c r="F140" s="13">
        <f t="shared" si="11"/>
        <v>109.12831894041794</v>
      </c>
      <c r="G140" s="11">
        <f>34055.92+1458.88</f>
        <v>35514.799999999996</v>
      </c>
      <c r="H140" s="11">
        <f>65926.968+10948.465</f>
        <v>76875.43299999999</v>
      </c>
      <c r="I140" s="12">
        <f t="shared" si="12"/>
        <v>41360.632999999994</v>
      </c>
      <c r="J140" s="14" t="s">
        <v>384</v>
      </c>
    </row>
    <row r="141" spans="1:10" s="37" customFormat="1">
      <c r="A141" s="17" t="s">
        <v>109</v>
      </c>
      <c r="B141" s="25" t="s">
        <v>135</v>
      </c>
      <c r="C141" s="11">
        <v>16896.585999999999</v>
      </c>
      <c r="D141" s="76">
        <v>15158.040999999999</v>
      </c>
      <c r="E141" s="12">
        <f t="shared" si="10"/>
        <v>-1738.5450000000001</v>
      </c>
      <c r="F141" s="13">
        <f t="shared" si="11"/>
        <v>89.710672913451276</v>
      </c>
      <c r="G141" s="11">
        <v>20243.555</v>
      </c>
      <c r="H141" s="91">
        <f>51217.703+7665.959</f>
        <v>58883.662000000004</v>
      </c>
      <c r="I141" s="12">
        <f t="shared" si="12"/>
        <v>38640.107000000004</v>
      </c>
      <c r="J141" s="14" t="s">
        <v>378</v>
      </c>
    </row>
    <row r="142" spans="1:10">
      <c r="A142" s="17" t="s">
        <v>110</v>
      </c>
      <c r="B142" s="35" t="s">
        <v>211</v>
      </c>
      <c r="C142" s="11">
        <v>645.03099999999995</v>
      </c>
      <c r="D142" s="76">
        <v>520.66200000000003</v>
      </c>
      <c r="E142" s="12">
        <f t="shared" si="10"/>
        <v>-124.36899999999991</v>
      </c>
      <c r="F142" s="13">
        <f t="shared" si="11"/>
        <v>80.718911184113637</v>
      </c>
      <c r="G142" s="11">
        <v>5600</v>
      </c>
      <c r="H142" s="91">
        <v>1252.114</v>
      </c>
      <c r="I142" s="12">
        <f t="shared" si="12"/>
        <v>-4347.8860000000004</v>
      </c>
      <c r="J142" s="14">
        <f>H142/G142*100</f>
        <v>22.359178571428572</v>
      </c>
    </row>
    <row r="143" spans="1:10">
      <c r="A143" s="33" t="s">
        <v>111</v>
      </c>
      <c r="B143" s="152" t="s">
        <v>136</v>
      </c>
      <c r="C143" s="153">
        <v>542.28499999999997</v>
      </c>
      <c r="D143" s="153">
        <v>237.173</v>
      </c>
      <c r="E143" s="154">
        <f t="shared" si="10"/>
        <v>-305.11199999999997</v>
      </c>
      <c r="F143" s="154">
        <f t="shared" si="11"/>
        <v>43.735858450814611</v>
      </c>
      <c r="G143" s="11"/>
      <c r="H143" s="11"/>
      <c r="I143" s="12"/>
      <c r="J143" s="14"/>
    </row>
    <row r="144" spans="1:10">
      <c r="A144" s="17" t="s">
        <v>112</v>
      </c>
      <c r="B144" s="35" t="s">
        <v>212</v>
      </c>
      <c r="C144" s="11">
        <f>C145</f>
        <v>22936.168000000001</v>
      </c>
      <c r="D144" s="11">
        <f>D145</f>
        <v>25768.688000000002</v>
      </c>
      <c r="E144" s="12">
        <f t="shared" si="10"/>
        <v>2832.5200000000004</v>
      </c>
      <c r="F144" s="13">
        <f t="shared" si="11"/>
        <v>112.34957818585912</v>
      </c>
      <c r="G144" s="11"/>
      <c r="H144" s="11"/>
      <c r="I144" s="12"/>
      <c r="J144" s="14"/>
    </row>
    <row r="145" spans="1:10" ht="37.5">
      <c r="A145" s="17" t="s">
        <v>113</v>
      </c>
      <c r="B145" s="35" t="s">
        <v>137</v>
      </c>
      <c r="C145" s="11">
        <v>22936.168000000001</v>
      </c>
      <c r="D145" s="11">
        <f>25058.22+710.468</f>
        <v>25768.688000000002</v>
      </c>
      <c r="E145" s="12">
        <f t="shared" si="10"/>
        <v>2832.5200000000004</v>
      </c>
      <c r="F145" s="13">
        <f t="shared" si="11"/>
        <v>112.34957818585912</v>
      </c>
      <c r="G145" s="11"/>
      <c r="H145" s="11"/>
      <c r="I145" s="12"/>
      <c r="J145" s="14"/>
    </row>
    <row r="146" spans="1:10">
      <c r="A146" s="17" t="s">
        <v>114</v>
      </c>
      <c r="B146" s="35" t="s">
        <v>138</v>
      </c>
      <c r="C146" s="11">
        <f>SUM(C147:C147)</f>
        <v>906.40700000000004</v>
      </c>
      <c r="D146" s="11">
        <f>SUM(D147:D147)</f>
        <v>2701.6509999999998</v>
      </c>
      <c r="E146" s="12">
        <f>SUM(D146-C146)</f>
        <v>1795.2439999999997</v>
      </c>
      <c r="F146" s="14" t="s">
        <v>464</v>
      </c>
      <c r="G146" s="11"/>
      <c r="H146" s="11"/>
      <c r="I146" s="12"/>
      <c r="J146" s="14"/>
    </row>
    <row r="147" spans="1:10">
      <c r="A147" s="17" t="s">
        <v>115</v>
      </c>
      <c r="B147" s="35" t="s">
        <v>139</v>
      </c>
      <c r="C147" s="11">
        <v>906.40700000000004</v>
      </c>
      <c r="D147" s="76">
        <v>2701.6509999999998</v>
      </c>
      <c r="E147" s="12">
        <f>SUM(D147-C147)</f>
        <v>1795.2439999999997</v>
      </c>
      <c r="F147" s="14" t="s">
        <v>464</v>
      </c>
      <c r="G147" s="11"/>
      <c r="H147" s="11"/>
      <c r="I147" s="12"/>
      <c r="J147" s="14"/>
    </row>
    <row r="148" spans="1:10" ht="20.25">
      <c r="A148" s="15" t="s">
        <v>41</v>
      </c>
      <c r="B148" s="16" t="s">
        <v>8</v>
      </c>
      <c r="C148" s="31">
        <f>C149+C156+C158+C163+C171+C172+C174+C177+C181+C157+C168+C170+C162</f>
        <v>124682.01599999999</v>
      </c>
      <c r="D148" s="31">
        <f>D149+D156+D158+D163+D171+D172+D174+D177+D181+D157+D168+D170+D162</f>
        <v>189996.27200000003</v>
      </c>
      <c r="E148" s="31">
        <f t="shared" ref="E148:E149" si="13">SUM(D148-C148)</f>
        <v>65314.256000000038</v>
      </c>
      <c r="F148" s="30">
        <f>SUM(D148/C148*100)</f>
        <v>152.38466468171325</v>
      </c>
      <c r="G148" s="31">
        <f>G149+G156+G158+G163+G171+G172+G174+G177+G181+G157+G168+G178+G161</f>
        <v>46927.458999999995</v>
      </c>
      <c r="H148" s="31">
        <f>H149+H156+H158+H163+H171+H172+H174+H177+H181+H157+H168+H178+H161</f>
        <v>192649.97899999999</v>
      </c>
      <c r="I148" s="31">
        <f t="shared" ref="I148" si="14">SUM(H148-G148)</f>
        <v>145722.51999999999</v>
      </c>
      <c r="J148" s="32" t="s">
        <v>408</v>
      </c>
    </row>
    <row r="149" spans="1:10" ht="37.5">
      <c r="A149" s="17" t="s">
        <v>42</v>
      </c>
      <c r="B149" s="18" t="s">
        <v>186</v>
      </c>
      <c r="C149" s="11">
        <f>SUM(C150:C155)</f>
        <v>36688.766999999993</v>
      </c>
      <c r="D149" s="11">
        <f>SUM(D150:D155)</f>
        <v>69282.710999999996</v>
      </c>
      <c r="E149" s="12">
        <f t="shared" si="13"/>
        <v>32593.944000000003</v>
      </c>
      <c r="F149" s="13" t="s">
        <v>421</v>
      </c>
      <c r="G149" s="11"/>
      <c r="H149" s="11"/>
      <c r="I149" s="12"/>
      <c r="J149" s="19"/>
    </row>
    <row r="150" spans="1:10">
      <c r="A150" s="17" t="s">
        <v>43</v>
      </c>
      <c r="B150" s="18" t="s">
        <v>218</v>
      </c>
      <c r="C150" s="11">
        <v>88.522999999999996</v>
      </c>
      <c r="D150" s="76">
        <v>213.63200000000001</v>
      </c>
      <c r="E150" s="12">
        <f t="shared" ref="E150:E183" si="15">SUM(D150-C150)</f>
        <v>125.10900000000001</v>
      </c>
      <c r="F150" s="13" t="s">
        <v>485</v>
      </c>
      <c r="G150" s="11"/>
      <c r="H150" s="11"/>
      <c r="I150" s="12"/>
      <c r="J150" s="19"/>
    </row>
    <row r="151" spans="1:10">
      <c r="A151" s="17" t="s">
        <v>187</v>
      </c>
      <c r="B151" s="20" t="s">
        <v>46</v>
      </c>
      <c r="C151" s="11">
        <v>1509.6959999999999</v>
      </c>
      <c r="D151" s="76">
        <v>1277.8309999999999</v>
      </c>
      <c r="E151" s="12">
        <f t="shared" si="15"/>
        <v>-231.86500000000001</v>
      </c>
      <c r="F151" s="13">
        <f t="shared" ref="F151" si="16">SUM(D151/C151*100)</f>
        <v>84.641609966509819</v>
      </c>
      <c r="G151" s="11"/>
      <c r="H151" s="11"/>
      <c r="I151" s="12"/>
      <c r="J151" s="14"/>
    </row>
    <row r="152" spans="1:10" ht="37.5">
      <c r="A152" s="17" t="s">
        <v>44</v>
      </c>
      <c r="B152" s="21" t="s">
        <v>12</v>
      </c>
      <c r="C152" s="11">
        <v>34874.720999999998</v>
      </c>
      <c r="D152" s="11">
        <v>67187.286999999997</v>
      </c>
      <c r="E152" s="12">
        <f t="shared" si="15"/>
        <v>32312.565999999999</v>
      </c>
      <c r="F152" s="13" t="s">
        <v>421</v>
      </c>
      <c r="G152" s="11"/>
      <c r="H152" s="11"/>
      <c r="I152" s="12"/>
      <c r="J152" s="14"/>
    </row>
    <row r="153" spans="1:10">
      <c r="A153" s="17" t="s">
        <v>45</v>
      </c>
      <c r="B153" s="22" t="s">
        <v>13</v>
      </c>
      <c r="C153" s="11">
        <v>0</v>
      </c>
      <c r="D153" s="76">
        <v>0</v>
      </c>
      <c r="E153" s="12"/>
      <c r="F153" s="13"/>
      <c r="G153" s="11"/>
      <c r="H153" s="11"/>
      <c r="I153" s="12"/>
      <c r="J153" s="14"/>
    </row>
    <row r="154" spans="1:10" ht="37.5">
      <c r="A154" s="17" t="s">
        <v>47</v>
      </c>
      <c r="B154" s="20" t="s">
        <v>14</v>
      </c>
      <c r="C154" s="11">
        <v>215.827</v>
      </c>
      <c r="D154" s="76">
        <v>603.96100000000001</v>
      </c>
      <c r="E154" s="12">
        <f t="shared" si="15"/>
        <v>388.13400000000001</v>
      </c>
      <c r="F154" s="13" t="s">
        <v>401</v>
      </c>
      <c r="G154" s="11"/>
      <c r="H154" s="11"/>
      <c r="I154" s="12"/>
      <c r="J154" s="14"/>
    </row>
    <row r="155" spans="1:10">
      <c r="A155" s="17" t="s">
        <v>48</v>
      </c>
      <c r="B155" s="18" t="s">
        <v>49</v>
      </c>
      <c r="C155" s="11">
        <v>0</v>
      </c>
      <c r="D155" s="11">
        <v>0</v>
      </c>
      <c r="E155" s="12">
        <f t="shared" si="15"/>
        <v>0</v>
      </c>
      <c r="F155" s="13"/>
      <c r="G155" s="11"/>
      <c r="H155" s="11"/>
      <c r="I155" s="12"/>
      <c r="J155" s="14"/>
    </row>
    <row r="156" spans="1:10">
      <c r="A156" s="23" t="s">
        <v>50</v>
      </c>
      <c r="B156" s="20" t="s">
        <v>59</v>
      </c>
      <c r="C156" s="11">
        <v>666.75300000000004</v>
      </c>
      <c r="D156" s="76">
        <v>542.476</v>
      </c>
      <c r="E156" s="12">
        <f t="shared" si="15"/>
        <v>-124.27700000000004</v>
      </c>
      <c r="F156" s="13">
        <f t="shared" ref="F156:F186" si="17">SUM(D156/C156*100)</f>
        <v>81.360863768142025</v>
      </c>
      <c r="G156" s="11"/>
      <c r="H156" s="11"/>
      <c r="I156" s="12"/>
      <c r="J156" s="14"/>
    </row>
    <row r="157" spans="1:10">
      <c r="A157" s="17" t="s">
        <v>51</v>
      </c>
      <c r="B157" s="24" t="s">
        <v>188</v>
      </c>
      <c r="C157" s="11">
        <v>336.76400000000001</v>
      </c>
      <c r="D157" s="76">
        <v>224.31800000000001</v>
      </c>
      <c r="E157" s="12">
        <f t="shared" si="15"/>
        <v>-112.446</v>
      </c>
      <c r="F157" s="13">
        <f t="shared" si="17"/>
        <v>66.60985140929553</v>
      </c>
      <c r="G157" s="11"/>
      <c r="H157" s="11"/>
      <c r="I157" s="12"/>
      <c r="J157" s="14"/>
    </row>
    <row r="158" spans="1:10" ht="37.5">
      <c r="A158" s="17" t="s">
        <v>52</v>
      </c>
      <c r="B158" s="24" t="s">
        <v>189</v>
      </c>
      <c r="C158" s="11">
        <f>C159+C160</f>
        <v>40086.131999999998</v>
      </c>
      <c r="D158" s="11">
        <f>D159+D160</f>
        <v>47038.286</v>
      </c>
      <c r="E158" s="12">
        <f t="shared" si="15"/>
        <v>6952.1540000000023</v>
      </c>
      <c r="F158" s="13">
        <f t="shared" si="17"/>
        <v>117.34304023146957</v>
      </c>
      <c r="G158" s="11">
        <f>G159+G160</f>
        <v>44504.800999999999</v>
      </c>
      <c r="H158" s="11">
        <f>H159+H160</f>
        <v>37538.074000000001</v>
      </c>
      <c r="I158" s="12">
        <f>SUM(H158-G158)</f>
        <v>-6966.726999999999</v>
      </c>
      <c r="J158" s="13">
        <f t="shared" ref="J158:J160" si="18">SUM(H158/G158*100)</f>
        <v>84.346122567765207</v>
      </c>
    </row>
    <row r="159" spans="1:10" ht="37.5">
      <c r="A159" s="17" t="s">
        <v>53</v>
      </c>
      <c r="B159" s="24" t="s">
        <v>60</v>
      </c>
      <c r="C159" s="11">
        <v>32563.612000000001</v>
      </c>
      <c r="D159" s="11">
        <v>39612.748</v>
      </c>
      <c r="E159" s="12">
        <f t="shared" si="15"/>
        <v>7049.1359999999986</v>
      </c>
      <c r="F159" s="13">
        <f t="shared" si="17"/>
        <v>121.64727917775215</v>
      </c>
      <c r="G159" s="11">
        <v>40020.78</v>
      </c>
      <c r="H159" s="91">
        <v>35823.612000000001</v>
      </c>
      <c r="I159" s="12">
        <f>SUM(H159-G159)</f>
        <v>-4197.1679999999978</v>
      </c>
      <c r="J159" s="13">
        <f t="shared" si="18"/>
        <v>89.512528241578508</v>
      </c>
    </row>
    <row r="160" spans="1:10">
      <c r="A160" s="17" t="s">
        <v>54</v>
      </c>
      <c r="B160" s="24" t="s">
        <v>190</v>
      </c>
      <c r="C160" s="11">
        <v>7522.52</v>
      </c>
      <c r="D160" s="76">
        <v>7425.5379999999996</v>
      </c>
      <c r="E160" s="12">
        <f t="shared" si="15"/>
        <v>-96.98200000000088</v>
      </c>
      <c r="F160" s="13">
        <f t="shared" si="17"/>
        <v>98.710777771278757</v>
      </c>
      <c r="G160" s="11">
        <v>4484.0209999999997</v>
      </c>
      <c r="H160" s="91">
        <v>1714.462</v>
      </c>
      <c r="I160" s="12">
        <f>SUM(H160-G160)</f>
        <v>-2769.5589999999997</v>
      </c>
      <c r="J160" s="13">
        <f t="shared" si="18"/>
        <v>38.234923520652558</v>
      </c>
    </row>
    <row r="161" spans="1:10">
      <c r="A161" s="17" t="s">
        <v>345</v>
      </c>
      <c r="B161" s="24" t="s">
        <v>346</v>
      </c>
      <c r="C161" s="11">
        <f>SUM(C162:C162)</f>
        <v>0</v>
      </c>
      <c r="D161" s="11">
        <f>SUM(D162:D162)</f>
        <v>380.03199999999998</v>
      </c>
      <c r="E161" s="12"/>
      <c r="F161" s="13"/>
      <c r="G161" s="11"/>
      <c r="H161" s="11"/>
      <c r="I161" s="12"/>
      <c r="J161" s="19"/>
    </row>
    <row r="162" spans="1:10" ht="37.5">
      <c r="A162" s="17" t="s">
        <v>262</v>
      </c>
      <c r="B162" s="24" t="s">
        <v>263</v>
      </c>
      <c r="C162" s="11">
        <v>0</v>
      </c>
      <c r="D162" s="11">
        <v>380.03199999999998</v>
      </c>
      <c r="E162" s="12"/>
      <c r="F162" s="13"/>
      <c r="G162" s="11"/>
      <c r="H162" s="11"/>
      <c r="I162" s="12"/>
      <c r="J162" s="19"/>
    </row>
    <row r="163" spans="1:10">
      <c r="A163" s="17" t="s">
        <v>116</v>
      </c>
      <c r="B163" s="24" t="s">
        <v>61</v>
      </c>
      <c r="C163" s="11">
        <f>C164+C165+C166+C167</f>
        <v>4303.2569999999996</v>
      </c>
      <c r="D163" s="11">
        <f>D164+D165+D166+D167</f>
        <v>3553.7110000000002</v>
      </c>
      <c r="E163" s="12">
        <f t="shared" si="15"/>
        <v>-749.54599999999937</v>
      </c>
      <c r="F163" s="13">
        <f t="shared" si="17"/>
        <v>82.58189087939671</v>
      </c>
      <c r="G163" s="11">
        <f>G164+G165+G166+G167</f>
        <v>527.18299999999999</v>
      </c>
      <c r="H163" s="11">
        <f>H164+H165+H166+H167</f>
        <v>168.78800000000001</v>
      </c>
      <c r="I163" s="12">
        <f>SUM(H163-G163)</f>
        <v>-358.39499999999998</v>
      </c>
      <c r="J163" s="19">
        <f t="shared" ref="J163" si="19">SUM(H163/G163*100)</f>
        <v>32.016965645705575</v>
      </c>
    </row>
    <row r="164" spans="1:10">
      <c r="A164" s="17" t="s">
        <v>117</v>
      </c>
      <c r="B164" s="24" t="s">
        <v>236</v>
      </c>
      <c r="C164" s="11">
        <v>2854.9580000000001</v>
      </c>
      <c r="D164" s="76">
        <v>2466.712</v>
      </c>
      <c r="E164" s="12">
        <f t="shared" si="15"/>
        <v>-388.24600000000009</v>
      </c>
      <c r="F164" s="13">
        <f t="shared" si="17"/>
        <v>86.400990837693584</v>
      </c>
      <c r="G164" s="11">
        <v>511.84500000000003</v>
      </c>
      <c r="H164" s="91">
        <v>9</v>
      </c>
      <c r="I164" s="12">
        <f>SUM(H164-G164)</f>
        <v>-502.84500000000003</v>
      </c>
      <c r="J164" s="13">
        <f t="shared" ref="J164" si="20">SUM(H164/G164*100)</f>
        <v>1.7583448114175189</v>
      </c>
    </row>
    <row r="165" spans="1:10">
      <c r="A165" s="17" t="s">
        <v>118</v>
      </c>
      <c r="B165" s="24" t="s">
        <v>62</v>
      </c>
      <c r="C165" s="11">
        <v>0</v>
      </c>
      <c r="D165" s="76">
        <v>0</v>
      </c>
      <c r="E165" s="12"/>
      <c r="F165" s="13"/>
      <c r="G165" s="11"/>
      <c r="H165" s="11"/>
      <c r="I165" s="12"/>
      <c r="J165" s="14"/>
    </row>
    <row r="166" spans="1:10">
      <c r="A166" s="17" t="s">
        <v>191</v>
      </c>
      <c r="B166" s="24" t="s">
        <v>63</v>
      </c>
      <c r="C166" s="11">
        <v>308.64299999999997</v>
      </c>
      <c r="D166" s="76">
        <v>327.37799999999999</v>
      </c>
      <c r="E166" s="12">
        <f t="shared" ref="E166" si="21">SUM(D166-C166)</f>
        <v>18.735000000000014</v>
      </c>
      <c r="F166" s="13">
        <f t="shared" ref="F166" si="22">SUM(D166/C166*100)</f>
        <v>106.07011984720212</v>
      </c>
      <c r="G166" s="11"/>
      <c r="H166" s="11"/>
      <c r="I166" s="12"/>
      <c r="J166" s="14"/>
    </row>
    <row r="167" spans="1:10" ht="37.5">
      <c r="A167" s="17" t="s">
        <v>359</v>
      </c>
      <c r="B167" s="24" t="s">
        <v>360</v>
      </c>
      <c r="C167" s="11">
        <v>1139.6559999999999</v>
      </c>
      <c r="D167" s="11">
        <v>759.62099999999998</v>
      </c>
      <c r="E167" s="12">
        <f t="shared" si="15"/>
        <v>-380.03499999999997</v>
      </c>
      <c r="F167" s="13">
        <f t="shared" si="17"/>
        <v>66.653534048870881</v>
      </c>
      <c r="G167" s="11">
        <v>15.337999999999999</v>
      </c>
      <c r="H167" s="91">
        <v>159.78800000000001</v>
      </c>
      <c r="I167" s="12">
        <f>SUM(H167-G167)</f>
        <v>144.45000000000002</v>
      </c>
      <c r="J167" s="14" t="s">
        <v>465</v>
      </c>
    </row>
    <row r="168" spans="1:10">
      <c r="A168" s="17" t="s">
        <v>55</v>
      </c>
      <c r="B168" s="28" t="s">
        <v>64</v>
      </c>
      <c r="C168" s="11">
        <f>SUM(C169)</f>
        <v>200</v>
      </c>
      <c r="D168" s="11">
        <f>SUM(D169)</f>
        <v>691.255</v>
      </c>
      <c r="E168" s="12">
        <f t="shared" si="15"/>
        <v>491.255</v>
      </c>
      <c r="F168" s="14" t="s">
        <v>466</v>
      </c>
      <c r="G168" s="11"/>
      <c r="H168" s="11"/>
      <c r="I168" s="12"/>
      <c r="J168" s="14"/>
    </row>
    <row r="169" spans="1:10">
      <c r="A169" s="23" t="s">
        <v>56</v>
      </c>
      <c r="B169" s="28" t="s">
        <v>192</v>
      </c>
      <c r="C169" s="11">
        <v>200</v>
      </c>
      <c r="D169" s="76">
        <v>691.255</v>
      </c>
      <c r="E169" s="12">
        <f t="shared" si="15"/>
        <v>491.255</v>
      </c>
      <c r="F169" s="14" t="s">
        <v>466</v>
      </c>
      <c r="G169" s="11"/>
      <c r="H169" s="11"/>
      <c r="I169" s="12"/>
      <c r="J169" s="14"/>
    </row>
    <row r="170" spans="1:10" ht="56.25">
      <c r="A170" s="23" t="s">
        <v>264</v>
      </c>
      <c r="B170" s="28" t="s">
        <v>265</v>
      </c>
      <c r="C170" s="11">
        <v>0</v>
      </c>
      <c r="D170" s="11">
        <v>13866.029</v>
      </c>
      <c r="E170" s="12">
        <f t="shared" ref="E170" si="23">SUM(D170-C170)</f>
        <v>13866.029</v>
      </c>
      <c r="F170" s="13"/>
      <c r="G170" s="11"/>
      <c r="H170" s="11"/>
      <c r="I170" s="12"/>
      <c r="J170" s="14"/>
    </row>
    <row r="171" spans="1:10" ht="56.25">
      <c r="A171" s="23" t="s">
        <v>102</v>
      </c>
      <c r="B171" s="28" t="s">
        <v>193</v>
      </c>
      <c r="C171" s="11">
        <v>8152.8459999999995</v>
      </c>
      <c r="D171" s="11">
        <v>10190.716</v>
      </c>
      <c r="E171" s="12">
        <f t="shared" si="15"/>
        <v>2037.8700000000008</v>
      </c>
      <c r="F171" s="13">
        <f t="shared" si="17"/>
        <v>124.9958112786627</v>
      </c>
      <c r="G171" s="11"/>
      <c r="H171" s="11"/>
      <c r="I171" s="12"/>
      <c r="J171" s="14"/>
    </row>
    <row r="172" spans="1:10" ht="24.75" customHeight="1">
      <c r="A172" s="26" t="s">
        <v>119</v>
      </c>
      <c r="B172" s="24" t="s">
        <v>194</v>
      </c>
      <c r="C172" s="11">
        <f>C173</f>
        <v>247.297</v>
      </c>
      <c r="D172" s="11">
        <f>D173</f>
        <v>240.90799999999999</v>
      </c>
      <c r="E172" s="12">
        <f t="shared" si="15"/>
        <v>-6.38900000000001</v>
      </c>
      <c r="F172" s="13">
        <f t="shared" si="17"/>
        <v>97.416466839468328</v>
      </c>
      <c r="G172" s="11"/>
      <c r="H172" s="11"/>
      <c r="I172" s="12"/>
      <c r="J172" s="14"/>
    </row>
    <row r="173" spans="1:10" ht="23.25" customHeight="1">
      <c r="A173" s="26" t="s">
        <v>120</v>
      </c>
      <c r="B173" s="24" t="s">
        <v>208</v>
      </c>
      <c r="C173" s="11">
        <v>247.297</v>
      </c>
      <c r="D173" s="11">
        <v>240.90799999999999</v>
      </c>
      <c r="E173" s="12">
        <f t="shared" si="15"/>
        <v>-6.38900000000001</v>
      </c>
      <c r="F173" s="13">
        <f t="shared" si="17"/>
        <v>97.416466839468328</v>
      </c>
      <c r="G173" s="11"/>
      <c r="H173" s="11"/>
      <c r="I173" s="12"/>
      <c r="J173" s="14"/>
    </row>
    <row r="174" spans="1:10">
      <c r="A174" s="26" t="s">
        <v>57</v>
      </c>
      <c r="B174" s="24" t="s">
        <v>65</v>
      </c>
      <c r="C174" s="11">
        <f>C175+C176</f>
        <v>12035.825000000001</v>
      </c>
      <c r="D174" s="11">
        <f>D175+D176</f>
        <v>14240.026</v>
      </c>
      <c r="E174" s="12">
        <f t="shared" si="15"/>
        <v>2204.2009999999991</v>
      </c>
      <c r="F174" s="13">
        <f t="shared" si="17"/>
        <v>118.31366773777452</v>
      </c>
      <c r="G174" s="11"/>
      <c r="H174" s="11"/>
      <c r="I174" s="43"/>
      <c r="J174" s="14"/>
    </row>
    <row r="175" spans="1:10">
      <c r="A175" s="23" t="s">
        <v>121</v>
      </c>
      <c r="B175" s="24" t="s">
        <v>467</v>
      </c>
      <c r="C175" s="11">
        <v>10556.963</v>
      </c>
      <c r="D175" s="11">
        <v>12933.125</v>
      </c>
      <c r="E175" s="12">
        <f t="shared" si="15"/>
        <v>2376.1620000000003</v>
      </c>
      <c r="F175" s="13">
        <f t="shared" si="17"/>
        <v>122.50800727444057</v>
      </c>
      <c r="G175" s="11"/>
      <c r="H175" s="11"/>
      <c r="I175" s="12"/>
      <c r="J175" s="14"/>
    </row>
    <row r="176" spans="1:10" ht="37.5">
      <c r="A176" s="23" t="s">
        <v>122</v>
      </c>
      <c r="B176" s="28" t="s">
        <v>468</v>
      </c>
      <c r="C176" s="11">
        <v>1478.8620000000001</v>
      </c>
      <c r="D176" s="11">
        <v>1306.9010000000001</v>
      </c>
      <c r="E176" s="12">
        <f t="shared" si="15"/>
        <v>-171.96100000000001</v>
      </c>
      <c r="F176" s="13">
        <f t="shared" si="17"/>
        <v>88.372072580132567</v>
      </c>
      <c r="G176" s="11"/>
      <c r="H176" s="11"/>
      <c r="I176" s="12"/>
      <c r="J176" s="14"/>
    </row>
    <row r="177" spans="1:10">
      <c r="A177" s="23" t="s">
        <v>123</v>
      </c>
      <c r="B177" s="28" t="s">
        <v>230</v>
      </c>
      <c r="C177" s="11"/>
      <c r="D177" s="11"/>
      <c r="E177" s="12"/>
      <c r="F177" s="13"/>
      <c r="G177" s="11"/>
      <c r="H177" s="11">
        <v>2324.578</v>
      </c>
      <c r="I177" s="12"/>
      <c r="J177" s="19"/>
    </row>
    <row r="178" spans="1:10" ht="37.5">
      <c r="A178" s="23" t="s">
        <v>341</v>
      </c>
      <c r="B178" s="28" t="s">
        <v>342</v>
      </c>
      <c r="C178" s="11"/>
      <c r="D178" s="11"/>
      <c r="E178" s="12"/>
      <c r="F178" s="13"/>
      <c r="G178" s="11"/>
      <c r="H178" s="11">
        <f>SUM(H179:H180)</f>
        <v>149464.60299999997</v>
      </c>
      <c r="I178" s="12"/>
      <c r="J178" s="19"/>
    </row>
    <row r="179" spans="1:10" ht="213" customHeight="1">
      <c r="A179" s="23" t="s">
        <v>343</v>
      </c>
      <c r="B179" s="28" t="s">
        <v>469</v>
      </c>
      <c r="C179" s="11"/>
      <c r="D179" s="11"/>
      <c r="E179" s="12"/>
      <c r="F179" s="13"/>
      <c r="G179" s="11"/>
      <c r="H179" s="11">
        <v>14017.012000000001</v>
      </c>
      <c r="I179" s="12"/>
      <c r="J179" s="19"/>
    </row>
    <row r="180" spans="1:10" ht="206.25">
      <c r="A180" s="23" t="s">
        <v>344</v>
      </c>
      <c r="B180" s="24" t="s">
        <v>470</v>
      </c>
      <c r="C180" s="11"/>
      <c r="D180" s="11"/>
      <c r="E180" s="12"/>
      <c r="F180" s="13"/>
      <c r="G180" s="11"/>
      <c r="H180" s="11">
        <v>135447.59099999999</v>
      </c>
      <c r="I180" s="12"/>
      <c r="J180" s="19"/>
    </row>
    <row r="181" spans="1:10">
      <c r="A181" s="23" t="s">
        <v>58</v>
      </c>
      <c r="B181" s="20" t="s">
        <v>196</v>
      </c>
      <c r="C181" s="11">
        <f>C182+C183</f>
        <v>21964.375</v>
      </c>
      <c r="D181" s="11">
        <f>D182+D183</f>
        <v>29745.804</v>
      </c>
      <c r="E181" s="12">
        <f t="shared" si="15"/>
        <v>7781.4290000000001</v>
      </c>
      <c r="F181" s="13">
        <f t="shared" si="17"/>
        <v>135.42750021341377</v>
      </c>
      <c r="G181" s="11">
        <f>G182+G183</f>
        <v>1895.4749999999999</v>
      </c>
      <c r="H181" s="11">
        <f>H182+H183</f>
        <v>3153.9360000000001</v>
      </c>
      <c r="I181" s="12">
        <f t="shared" ref="I181:I182" si="24">SUM(H181-G181)</f>
        <v>1258.4610000000002</v>
      </c>
      <c r="J181" s="13" t="s">
        <v>402</v>
      </c>
    </row>
    <row r="182" spans="1:10">
      <c r="A182" s="23" t="s">
        <v>124</v>
      </c>
      <c r="B182" s="20" t="s">
        <v>197</v>
      </c>
      <c r="C182" s="11">
        <v>14649.887000000001</v>
      </c>
      <c r="D182" s="76">
        <v>15979.529</v>
      </c>
      <c r="E182" s="12">
        <f t="shared" si="15"/>
        <v>1329.6419999999998</v>
      </c>
      <c r="F182" s="13">
        <f t="shared" si="17"/>
        <v>109.07612461447656</v>
      </c>
      <c r="G182" s="11">
        <v>1895.4749999999999</v>
      </c>
      <c r="H182" s="91">
        <v>3153.9360000000001</v>
      </c>
      <c r="I182" s="12">
        <f t="shared" si="24"/>
        <v>1258.4610000000002</v>
      </c>
      <c r="J182" s="13" t="s">
        <v>402</v>
      </c>
    </row>
    <row r="183" spans="1:10">
      <c r="A183" s="23" t="s">
        <v>125</v>
      </c>
      <c r="B183" s="20" t="s">
        <v>198</v>
      </c>
      <c r="C183" s="11">
        <v>7314.4880000000003</v>
      </c>
      <c r="D183" s="76">
        <v>13766.275</v>
      </c>
      <c r="E183" s="12">
        <f t="shared" si="15"/>
        <v>6451.7869999999994</v>
      </c>
      <c r="F183" s="13">
        <f t="shared" si="17"/>
        <v>188.20558595488842</v>
      </c>
      <c r="G183" s="11"/>
      <c r="H183" s="11"/>
      <c r="I183" s="12"/>
      <c r="J183" s="19"/>
    </row>
    <row r="184" spans="1:10" ht="20.25">
      <c r="A184" s="29" t="s">
        <v>68</v>
      </c>
      <c r="B184" s="16" t="s">
        <v>10</v>
      </c>
      <c r="C184" s="31">
        <f>SUM(C185:C187)</f>
        <v>98015.955999999991</v>
      </c>
      <c r="D184" s="31">
        <f>SUM(D185:D187)</f>
        <v>157122.40700000001</v>
      </c>
      <c r="E184" s="31">
        <f t="shared" ref="E184:E189" si="25">SUM(D184-C184)</f>
        <v>59106.451000000015</v>
      </c>
      <c r="F184" s="30">
        <f t="shared" si="17"/>
        <v>160.30288680753165</v>
      </c>
      <c r="G184" s="31">
        <f>SUM(G185:G187)</f>
        <v>421.834</v>
      </c>
      <c r="H184" s="31">
        <f>SUM(H185:H187)</f>
        <v>3846.3830000000007</v>
      </c>
      <c r="I184" s="31">
        <f t="shared" ref="I184:I186" si="26">SUM(H184-G184)</f>
        <v>3424.5490000000009</v>
      </c>
      <c r="J184" s="30" t="s">
        <v>471</v>
      </c>
    </row>
    <row r="185" spans="1:10">
      <c r="A185" s="33" t="s">
        <v>126</v>
      </c>
      <c r="B185" s="27" t="s">
        <v>140</v>
      </c>
      <c r="C185" s="11">
        <v>35259.591999999997</v>
      </c>
      <c r="D185" s="11">
        <v>47063.622000000003</v>
      </c>
      <c r="E185" s="12">
        <f t="shared" si="25"/>
        <v>11804.030000000006</v>
      </c>
      <c r="F185" s="13">
        <f t="shared" si="17"/>
        <v>133.47750025014471</v>
      </c>
      <c r="G185" s="12">
        <v>132.71899999999999</v>
      </c>
      <c r="H185" s="12">
        <v>1579.2560000000001</v>
      </c>
      <c r="I185" s="12">
        <f t="shared" si="26"/>
        <v>1446.537</v>
      </c>
      <c r="J185" s="13" t="s">
        <v>472</v>
      </c>
    </row>
    <row r="186" spans="1:10" ht="37.5">
      <c r="A186" s="33" t="s">
        <v>69</v>
      </c>
      <c r="B186" s="34" t="s">
        <v>203</v>
      </c>
      <c r="C186" s="11">
        <v>26090.115000000002</v>
      </c>
      <c r="D186" s="11">
        <v>37621.237999999998</v>
      </c>
      <c r="E186" s="12">
        <f t="shared" si="25"/>
        <v>11531.122999999996</v>
      </c>
      <c r="F186" s="13">
        <f t="shared" si="17"/>
        <v>144.19728698014552</v>
      </c>
      <c r="G186" s="11">
        <v>235.87299999999999</v>
      </c>
      <c r="H186" s="91">
        <v>1096.5630000000001</v>
      </c>
      <c r="I186" s="12">
        <f t="shared" si="26"/>
        <v>860.69</v>
      </c>
      <c r="J186" s="14" t="s">
        <v>473</v>
      </c>
    </row>
    <row r="187" spans="1:10">
      <c r="A187" s="33" t="s">
        <v>127</v>
      </c>
      <c r="B187" s="27" t="s">
        <v>141</v>
      </c>
      <c r="C187" s="11">
        <f>SUM(C188:C189)</f>
        <v>36666.248999999996</v>
      </c>
      <c r="D187" s="11">
        <f>SUM(D188:D189)</f>
        <v>72437.547000000006</v>
      </c>
      <c r="E187" s="12">
        <f t="shared" si="25"/>
        <v>35771.29800000001</v>
      </c>
      <c r="F187" s="13" t="s">
        <v>476</v>
      </c>
      <c r="G187" s="11">
        <f>SUM(G188:G189)</f>
        <v>53.241999999999997</v>
      </c>
      <c r="H187" s="11">
        <f>SUM(H188:H189)</f>
        <v>1170.5640000000001</v>
      </c>
      <c r="I187" s="12">
        <f t="shared" ref="I187:I188" si="27">SUM(H187-G187)</f>
        <v>1117.3220000000001</v>
      </c>
      <c r="J187" s="14" t="s">
        <v>474</v>
      </c>
    </row>
    <row r="188" spans="1:10">
      <c r="A188" s="17" t="s">
        <v>128</v>
      </c>
      <c r="B188" s="25" t="s">
        <v>142</v>
      </c>
      <c r="C188" s="11">
        <v>35739.296999999999</v>
      </c>
      <c r="D188" s="76">
        <v>70531.763000000006</v>
      </c>
      <c r="E188" s="12">
        <f t="shared" si="25"/>
        <v>34792.466000000008</v>
      </c>
      <c r="F188" s="13" t="s">
        <v>476</v>
      </c>
      <c r="G188" s="11">
        <v>53.241999999999997</v>
      </c>
      <c r="H188" s="91">
        <v>1170.5640000000001</v>
      </c>
      <c r="I188" s="12">
        <f t="shared" si="27"/>
        <v>1117.3220000000001</v>
      </c>
      <c r="J188" s="14" t="s">
        <v>474</v>
      </c>
    </row>
    <row r="189" spans="1:10">
      <c r="A189" s="17" t="s">
        <v>129</v>
      </c>
      <c r="B189" s="25" t="s">
        <v>143</v>
      </c>
      <c r="C189" s="11">
        <v>926.952</v>
      </c>
      <c r="D189" s="76">
        <v>1905.7840000000001</v>
      </c>
      <c r="E189" s="12">
        <f t="shared" si="25"/>
        <v>978.83200000000011</v>
      </c>
      <c r="F189" s="13" t="s">
        <v>358</v>
      </c>
      <c r="G189" s="11"/>
      <c r="H189" s="11"/>
      <c r="I189" s="12"/>
      <c r="J189" s="14"/>
    </row>
    <row r="190" spans="1:10" ht="20.25">
      <c r="A190" s="29" t="s">
        <v>70</v>
      </c>
      <c r="B190" s="52" t="s">
        <v>11</v>
      </c>
      <c r="C190" s="31">
        <f>SUM(C191+C194+C198+C201)</f>
        <v>123361.95516</v>
      </c>
      <c r="D190" s="31">
        <f>SUM(D191+D194+D198+D201)</f>
        <v>165920.74062000003</v>
      </c>
      <c r="E190" s="31">
        <f t="shared" ref="E190:E203" si="28">SUM(D190-C190)</f>
        <v>42558.785460000028</v>
      </c>
      <c r="F190" s="30">
        <f t="shared" ref="F190:F203" si="29">SUM(D190/C190*100)</f>
        <v>134.49911717498432</v>
      </c>
      <c r="G190" s="31">
        <f>SUM(G191+G194+G198+G201)</f>
        <v>1010.9446700000001</v>
      </c>
      <c r="H190" s="31">
        <f>SUM(H191+H194+H198+H201)</f>
        <v>22614.766950000001</v>
      </c>
      <c r="I190" s="31">
        <f t="shared" ref="I190" si="30">SUM(H190-G190)</f>
        <v>21603.82228</v>
      </c>
      <c r="J190" s="30" t="s">
        <v>475</v>
      </c>
    </row>
    <row r="191" spans="1:10">
      <c r="A191" s="23" t="s">
        <v>72</v>
      </c>
      <c r="B191" s="25" t="s">
        <v>71</v>
      </c>
      <c r="C191" s="12">
        <f>C192+C193</f>
        <v>2561.1013699999999</v>
      </c>
      <c r="D191" s="12">
        <f>D192+D193</f>
        <v>3124.0486799999999</v>
      </c>
      <c r="E191" s="12">
        <f t="shared" si="28"/>
        <v>562.94731000000002</v>
      </c>
      <c r="F191" s="13">
        <f t="shared" si="29"/>
        <v>121.98067271347406</v>
      </c>
      <c r="G191" s="12"/>
      <c r="H191" s="12"/>
      <c r="I191" s="12"/>
      <c r="J191" s="14"/>
    </row>
    <row r="192" spans="1:10">
      <c r="A192" s="17" t="s">
        <v>73</v>
      </c>
      <c r="B192" s="25" t="s">
        <v>84</v>
      </c>
      <c r="C192" s="11">
        <v>2125.37212</v>
      </c>
      <c r="D192" s="76">
        <v>2270.8342499999999</v>
      </c>
      <c r="E192" s="12">
        <f t="shared" si="28"/>
        <v>145.46212999999989</v>
      </c>
      <c r="F192" s="13">
        <f t="shared" si="29"/>
        <v>106.84407820311486</v>
      </c>
      <c r="G192" s="11"/>
      <c r="H192" s="11"/>
      <c r="I192" s="12"/>
      <c r="J192" s="14"/>
    </row>
    <row r="193" spans="1:10">
      <c r="A193" s="17" t="s">
        <v>74</v>
      </c>
      <c r="B193" s="25" t="s">
        <v>85</v>
      </c>
      <c r="C193" s="11">
        <v>435.72924999999998</v>
      </c>
      <c r="D193" s="76">
        <v>853.21442999999999</v>
      </c>
      <c r="E193" s="12">
        <f t="shared" si="28"/>
        <v>417.48518000000001</v>
      </c>
      <c r="F193" s="13" t="s">
        <v>476</v>
      </c>
      <c r="G193" s="11"/>
      <c r="H193" s="11"/>
      <c r="I193" s="12"/>
      <c r="J193" s="14"/>
    </row>
    <row r="194" spans="1:10">
      <c r="A194" s="33" t="s">
        <v>75</v>
      </c>
      <c r="B194" s="42" t="s">
        <v>86</v>
      </c>
      <c r="C194" s="11">
        <f>C195+C196+C197</f>
        <v>96044.40178</v>
      </c>
      <c r="D194" s="11">
        <f>D195+D196+D197</f>
        <v>128305.54821000001</v>
      </c>
      <c r="E194" s="12">
        <f t="shared" si="28"/>
        <v>32261.146430000008</v>
      </c>
      <c r="F194" s="13">
        <f t="shared" si="29"/>
        <v>133.58982494773369</v>
      </c>
      <c r="G194" s="11">
        <f>G195+G196+G197</f>
        <v>484.18157000000002</v>
      </c>
      <c r="H194" s="11">
        <f>H195+H196+H197</f>
        <v>4929.6320900000001</v>
      </c>
      <c r="I194" s="12">
        <f t="shared" ref="I194:I197" si="31">SUM(H194-G194)</f>
        <v>4445.4505200000003</v>
      </c>
      <c r="J194" s="13" t="s">
        <v>477</v>
      </c>
    </row>
    <row r="195" spans="1:10">
      <c r="A195" s="33" t="s">
        <v>76</v>
      </c>
      <c r="B195" s="42" t="s">
        <v>87</v>
      </c>
      <c r="C195" s="11">
        <v>83975.883839999995</v>
      </c>
      <c r="D195" s="76">
        <v>111705.32983</v>
      </c>
      <c r="E195" s="12">
        <f t="shared" si="28"/>
        <v>27729.445990000007</v>
      </c>
      <c r="F195" s="13">
        <f t="shared" si="29"/>
        <v>133.02072538210277</v>
      </c>
      <c r="G195" s="11">
        <v>413.5634</v>
      </c>
      <c r="H195" s="91">
        <v>4596.9478300000001</v>
      </c>
      <c r="I195" s="12">
        <f t="shared" si="31"/>
        <v>4183.3844300000001</v>
      </c>
      <c r="J195" s="13" t="s">
        <v>502</v>
      </c>
    </row>
    <row r="196" spans="1:10">
      <c r="A196" s="33" t="s">
        <v>77</v>
      </c>
      <c r="B196" s="42" t="s">
        <v>88</v>
      </c>
      <c r="C196" s="11">
        <v>1888.5292300000001</v>
      </c>
      <c r="D196" s="76">
        <v>2838.049</v>
      </c>
      <c r="E196" s="12">
        <f t="shared" si="28"/>
        <v>949.51976999999988</v>
      </c>
      <c r="F196" s="13">
        <f t="shared" si="29"/>
        <v>150.2782670724138</v>
      </c>
      <c r="G196" s="11"/>
      <c r="H196" s="11"/>
      <c r="I196" s="12"/>
      <c r="J196" s="14"/>
    </row>
    <row r="197" spans="1:10">
      <c r="A197" s="33" t="s">
        <v>78</v>
      </c>
      <c r="B197" s="42" t="s">
        <v>89</v>
      </c>
      <c r="C197" s="11">
        <v>10179.98871</v>
      </c>
      <c r="D197" s="76">
        <v>13762.169379999999</v>
      </c>
      <c r="E197" s="12">
        <f t="shared" si="28"/>
        <v>3582.1806699999997</v>
      </c>
      <c r="F197" s="13">
        <f t="shared" si="29"/>
        <v>135.18845425124249</v>
      </c>
      <c r="G197" s="104">
        <v>70.618170000000006</v>
      </c>
      <c r="H197" s="91">
        <v>332.68425999999999</v>
      </c>
      <c r="I197" s="12">
        <f t="shared" si="31"/>
        <v>262.06608999999997</v>
      </c>
      <c r="J197" s="13" t="s">
        <v>503</v>
      </c>
    </row>
    <row r="198" spans="1:10">
      <c r="A198" s="33" t="s">
        <v>79</v>
      </c>
      <c r="B198" s="42" t="s">
        <v>90</v>
      </c>
      <c r="C198" s="91">
        <f>C199+C200</f>
        <v>16612.531230000001</v>
      </c>
      <c r="D198" s="91">
        <f>D199+D200</f>
        <v>22004.955849999998</v>
      </c>
      <c r="E198" s="12">
        <f t="shared" si="28"/>
        <v>5392.424619999998</v>
      </c>
      <c r="F198" s="13">
        <f t="shared" si="29"/>
        <v>132.45998183745775</v>
      </c>
      <c r="G198" s="91">
        <f t="shared" ref="G198:H198" si="32">G199+G200</f>
        <v>345.69042000000002</v>
      </c>
      <c r="H198" s="91">
        <f t="shared" si="32"/>
        <v>17541.523300000001</v>
      </c>
      <c r="I198" s="12">
        <f t="shared" ref="I198" si="33">SUM(H198-G198)</f>
        <v>17195.832880000002</v>
      </c>
      <c r="J198" s="13" t="s">
        <v>504</v>
      </c>
    </row>
    <row r="199" spans="1:10">
      <c r="A199" s="33" t="s">
        <v>80</v>
      </c>
      <c r="B199" s="42" t="s">
        <v>91</v>
      </c>
      <c r="C199" s="11">
        <v>16612.531230000001</v>
      </c>
      <c r="D199" s="76">
        <v>21936.294249999999</v>
      </c>
      <c r="E199" s="12">
        <f t="shared" si="28"/>
        <v>5323.7630199999985</v>
      </c>
      <c r="F199" s="13">
        <f t="shared" si="29"/>
        <v>132.04666974763001</v>
      </c>
      <c r="G199" s="104">
        <v>345.69042000000002</v>
      </c>
      <c r="H199" s="91">
        <f>1878.45261+15663.07069</f>
        <v>17541.523300000001</v>
      </c>
      <c r="I199" s="12">
        <f t="shared" ref="I199" si="34">SUM(H199-G199)</f>
        <v>17195.832880000002</v>
      </c>
      <c r="J199" s="13" t="s">
        <v>505</v>
      </c>
    </row>
    <row r="200" spans="1:10" ht="37.5">
      <c r="A200" s="33" t="s">
        <v>478</v>
      </c>
      <c r="B200" s="42" t="s">
        <v>479</v>
      </c>
      <c r="C200" s="11"/>
      <c r="D200" s="76">
        <v>68.661600000000007</v>
      </c>
      <c r="E200" s="12"/>
      <c r="F200" s="13"/>
      <c r="G200" s="105"/>
      <c r="H200" s="91"/>
      <c r="I200" s="12"/>
      <c r="J200" s="14"/>
    </row>
    <row r="201" spans="1:10">
      <c r="A201" s="33" t="s">
        <v>81</v>
      </c>
      <c r="B201" s="42" t="s">
        <v>92</v>
      </c>
      <c r="C201" s="11">
        <f>C202+C203</f>
        <v>8143.9207800000004</v>
      </c>
      <c r="D201" s="11">
        <f>D202+D203</f>
        <v>12486.187879999999</v>
      </c>
      <c r="E201" s="12">
        <f t="shared" si="28"/>
        <v>4342.2670999999991</v>
      </c>
      <c r="F201" s="13">
        <f t="shared" si="29"/>
        <v>153.31912253694588</v>
      </c>
      <c r="G201" s="11">
        <f>G202+G203</f>
        <v>181.07267999999999</v>
      </c>
      <c r="H201" s="11">
        <f>H202+H203</f>
        <v>143.61156</v>
      </c>
      <c r="I201" s="12">
        <f t="shared" ref="I201" si="35">SUM(H201-G201)</f>
        <v>-37.461119999999994</v>
      </c>
      <c r="J201" s="13">
        <f t="shared" ref="J201" si="36">SUM(H201/G201*100)</f>
        <v>79.311556000607055</v>
      </c>
    </row>
    <row r="202" spans="1:10" ht="37.5">
      <c r="A202" s="33" t="s">
        <v>82</v>
      </c>
      <c r="B202" s="42" t="s">
        <v>93</v>
      </c>
      <c r="C202" s="11">
        <v>4801.5053500000004</v>
      </c>
      <c r="D202" s="11">
        <v>7784.1559999999999</v>
      </c>
      <c r="E202" s="12">
        <f t="shared" si="28"/>
        <v>2982.6506499999996</v>
      </c>
      <c r="F202" s="13">
        <v>100</v>
      </c>
      <c r="G202" s="43"/>
      <c r="H202" s="43"/>
      <c r="I202" s="12"/>
      <c r="J202" s="14"/>
    </row>
    <row r="203" spans="1:10">
      <c r="A203" s="33" t="s">
        <v>83</v>
      </c>
      <c r="B203" s="42" t="s">
        <v>94</v>
      </c>
      <c r="C203" s="11">
        <v>3342.41543</v>
      </c>
      <c r="D203" s="76">
        <v>4702.0318799999995</v>
      </c>
      <c r="E203" s="12">
        <f t="shared" si="28"/>
        <v>1359.6164499999995</v>
      </c>
      <c r="F203" s="13">
        <f t="shared" si="29"/>
        <v>140.6776619625646</v>
      </c>
      <c r="G203" s="43">
        <v>181.07267999999999</v>
      </c>
      <c r="H203" s="91">
        <v>143.61156</v>
      </c>
      <c r="I203" s="12">
        <f t="shared" ref="I203" si="37">SUM(H203-G203)</f>
        <v>-37.461119999999994</v>
      </c>
      <c r="J203" s="13">
        <f t="shared" ref="J203" si="38">SUM(H203/G203*100)</f>
        <v>79.311556000607055</v>
      </c>
    </row>
    <row r="204" spans="1:10" ht="20.25">
      <c r="A204" s="29" t="s">
        <v>66</v>
      </c>
      <c r="B204" s="16" t="s">
        <v>9</v>
      </c>
      <c r="C204" s="31">
        <f>+C206+C207+C208+C209+C211+C214+C216+C212</f>
        <v>491954.46305999998</v>
      </c>
      <c r="D204" s="31">
        <f>D205+D208+D209+D211+D213+D216+D210</f>
        <v>715255.22210999997</v>
      </c>
      <c r="E204" s="31">
        <f>SUM(D204-C204)</f>
        <v>223300.75904999999</v>
      </c>
      <c r="F204" s="30">
        <f>SUM(D204/C204*100)</f>
        <v>145.39053425007054</v>
      </c>
      <c r="G204" s="31">
        <f>SUM(G206+G208+G209+G211+G213+G216)</f>
        <v>2302.83563</v>
      </c>
      <c r="H204" s="31">
        <f>H205+H208+H209+H211+H213+H216</f>
        <v>381972.07444</v>
      </c>
      <c r="I204" s="31">
        <f t="shared" ref="I204:I205" si="39">SUM(H204-G204)</f>
        <v>379669.23881000001</v>
      </c>
      <c r="J204" s="30" t="s">
        <v>480</v>
      </c>
    </row>
    <row r="205" spans="1:10">
      <c r="A205" s="26" t="s">
        <v>67</v>
      </c>
      <c r="B205" s="34" t="s">
        <v>144</v>
      </c>
      <c r="C205" s="12">
        <f>C206+C207</f>
        <v>33906.445420000004</v>
      </c>
      <c r="D205" s="12">
        <f>D206+D207</f>
        <v>73704.85480999999</v>
      </c>
      <c r="E205" s="12">
        <f>SUM(D205-C205)</f>
        <v>39798.409389999986</v>
      </c>
      <c r="F205" s="13" t="s">
        <v>384</v>
      </c>
      <c r="G205" s="12">
        <f>G206+G207</f>
        <v>76.941980000000001</v>
      </c>
      <c r="H205" s="12">
        <f>H206+H207</f>
        <v>46986.098610000001</v>
      </c>
      <c r="I205" s="12">
        <f t="shared" si="39"/>
        <v>46909.156629999998</v>
      </c>
      <c r="J205" s="13" t="s">
        <v>481</v>
      </c>
    </row>
    <row r="206" spans="1:10">
      <c r="A206" s="26" t="s">
        <v>130</v>
      </c>
      <c r="B206" s="34" t="s">
        <v>145</v>
      </c>
      <c r="C206" s="12">
        <f>2120.52708</f>
        <v>2120.5270799999998</v>
      </c>
      <c r="D206" s="76">
        <f>23060.11008+974.87351+3960.33486</f>
        <v>27995.318449999999</v>
      </c>
      <c r="E206" s="12">
        <f>SUM(D206-C206)</f>
        <v>25874.791369999999</v>
      </c>
      <c r="F206" s="13" t="s">
        <v>497</v>
      </c>
      <c r="G206" s="12">
        <f>76.94198</f>
        <v>76.941980000000001</v>
      </c>
      <c r="H206" s="91">
        <f>22267.70664+15911.47381+2598.04876+6208.8694</f>
        <v>46986.098610000001</v>
      </c>
      <c r="I206" s="12">
        <f t="shared" ref="I206" si="40">SUM(H206-G206)</f>
        <v>46909.156629999998</v>
      </c>
      <c r="J206" s="13" t="s">
        <v>481</v>
      </c>
    </row>
    <row r="207" spans="1:10" ht="37.5">
      <c r="A207" s="26" t="s">
        <v>131</v>
      </c>
      <c r="B207" s="70" t="s">
        <v>98</v>
      </c>
      <c r="C207" s="12">
        <f>11052.71384+5389.16508+8347.5678+6996.47162</f>
        <v>31785.91834</v>
      </c>
      <c r="D207" s="11">
        <f>14925.114+5279+15620.547+9884.87536</f>
        <v>45709.536359999998</v>
      </c>
      <c r="E207" s="12">
        <f t="shared" ref="E207:E213" si="41">SUM(D207-C207)</f>
        <v>13923.618019999998</v>
      </c>
      <c r="F207" s="13">
        <f t="shared" ref="F207" si="42">SUM(D207/C207*100)</f>
        <v>143.80435975158929</v>
      </c>
      <c r="G207" s="12"/>
      <c r="H207" s="12"/>
      <c r="I207" s="12"/>
      <c r="J207" s="14"/>
    </row>
    <row r="208" spans="1:10" ht="37.5">
      <c r="A208" s="71">
        <v>6020</v>
      </c>
      <c r="B208" s="70" t="s">
        <v>146</v>
      </c>
      <c r="C208" s="11">
        <f>38284.2619+113.16+11.82948</f>
        <v>38409.251380000002</v>
      </c>
      <c r="D208" s="11">
        <f>152872.40498+868.12672+230.3+279.0603+357.00165</f>
        <v>154606.89364999998</v>
      </c>
      <c r="E208" s="12">
        <f t="shared" si="41"/>
        <v>116197.64226999998</v>
      </c>
      <c r="F208" s="13" t="s">
        <v>496</v>
      </c>
      <c r="G208" s="11"/>
      <c r="H208" s="11">
        <f>16453.982</f>
        <v>16453.982</v>
      </c>
      <c r="I208" s="12">
        <f t="shared" ref="I208:I211" si="43">SUM(H208-G208)</f>
        <v>16453.982</v>
      </c>
      <c r="J208" s="13"/>
    </row>
    <row r="209" spans="1:10">
      <c r="A209" s="71">
        <v>6030</v>
      </c>
      <c r="B209" s="27" t="s">
        <v>147</v>
      </c>
      <c r="C209" s="11">
        <f>117573.78563+12184.93505+4714.61853+29755.70202+17432.05457</f>
        <v>181661.09580000001</v>
      </c>
      <c r="D209" s="11">
        <f>280964.05264+43780.39214+14753.20393+67912.30548+34578.27683</f>
        <v>441988.23102000001</v>
      </c>
      <c r="E209" s="12">
        <f t="shared" si="41"/>
        <v>260327.13522</v>
      </c>
      <c r="F209" s="13" t="s">
        <v>485</v>
      </c>
      <c r="G209" s="11">
        <f>1336.17864</f>
        <v>1336.1786400000001</v>
      </c>
      <c r="H209" s="91">
        <f>63719.05246+5442.68439+4154.75672+2443.05222+380</f>
        <v>76139.545790000004</v>
      </c>
      <c r="I209" s="12">
        <f t="shared" si="43"/>
        <v>74803.367150000005</v>
      </c>
      <c r="J209" s="13" t="s">
        <v>482</v>
      </c>
    </row>
    <row r="210" spans="1:10">
      <c r="A210" s="71">
        <v>6040</v>
      </c>
      <c r="B210" s="27" t="s">
        <v>483</v>
      </c>
      <c r="C210" s="11"/>
      <c r="D210" s="11">
        <f>6143.68087</f>
        <v>6143.6808700000001</v>
      </c>
      <c r="E210" s="12">
        <f t="shared" si="41"/>
        <v>6143.6808700000001</v>
      </c>
      <c r="F210" s="13"/>
      <c r="G210" s="11"/>
      <c r="H210" s="91"/>
      <c r="I210" s="12"/>
      <c r="J210" s="14"/>
    </row>
    <row r="211" spans="1:10" ht="37.5">
      <c r="A211" s="71">
        <v>6050</v>
      </c>
      <c r="B211" s="106" t="s">
        <v>484</v>
      </c>
      <c r="C211" s="11"/>
      <c r="D211" s="11">
        <f>37317.26437</f>
        <v>37317.264369999997</v>
      </c>
      <c r="E211" s="12">
        <f t="shared" ref="E211" si="44">SUM(D211-C211)</f>
        <v>37317.264369999997</v>
      </c>
      <c r="F211" s="13"/>
      <c r="G211" s="11"/>
      <c r="H211" s="11">
        <f>18454.05187</f>
        <v>18454.051869999999</v>
      </c>
      <c r="I211" s="12">
        <f t="shared" si="43"/>
        <v>18454.051869999999</v>
      </c>
      <c r="J211" s="13"/>
    </row>
    <row r="212" spans="1:10" ht="75">
      <c r="A212" s="71">
        <v>6071</v>
      </c>
      <c r="B212" s="87" t="s">
        <v>367</v>
      </c>
      <c r="C212" s="91">
        <v>237401.46299999999</v>
      </c>
      <c r="D212" s="91"/>
      <c r="E212" s="12">
        <f t="shared" si="41"/>
        <v>-237401.46299999999</v>
      </c>
      <c r="F212" s="13"/>
      <c r="G212" s="11"/>
      <c r="H212" s="11"/>
      <c r="I212" s="12"/>
      <c r="J212" s="14"/>
    </row>
    <row r="213" spans="1:10">
      <c r="A213" s="71">
        <v>6080</v>
      </c>
      <c r="B213" s="70" t="s">
        <v>150</v>
      </c>
      <c r="C213" s="11">
        <f>C214+C215</f>
        <v>576.20745999999997</v>
      </c>
      <c r="D213" s="11">
        <f>D214+D215</f>
        <v>1400</v>
      </c>
      <c r="E213" s="12">
        <f t="shared" si="41"/>
        <v>823.79254000000003</v>
      </c>
      <c r="F213" s="13" t="s">
        <v>485</v>
      </c>
      <c r="G213" s="11"/>
      <c r="H213" s="11">
        <f>H214+H215</f>
        <v>223710.06897999998</v>
      </c>
      <c r="I213" s="12">
        <f t="shared" ref="I213" si="45">SUM(H213-G213)</f>
        <v>223710.06897999998</v>
      </c>
      <c r="J213" s="13"/>
    </row>
    <row r="214" spans="1:10" ht="37.5">
      <c r="A214" s="71">
        <v>6084</v>
      </c>
      <c r="B214" s="70" t="s">
        <v>148</v>
      </c>
      <c r="C214" s="11">
        <v>576.20745999999997</v>
      </c>
      <c r="D214" s="11">
        <v>1400</v>
      </c>
      <c r="E214" s="12">
        <f t="shared" ref="E214:E216" si="46">SUM(D214-C214)</f>
        <v>823.79254000000003</v>
      </c>
      <c r="F214" s="13" t="s">
        <v>485</v>
      </c>
      <c r="G214" s="11"/>
      <c r="H214" s="11"/>
      <c r="I214" s="12"/>
      <c r="J214" s="14"/>
    </row>
    <row r="215" spans="1:10">
      <c r="A215" s="71">
        <v>6086</v>
      </c>
      <c r="B215" s="70" t="s">
        <v>213</v>
      </c>
      <c r="C215" s="11"/>
      <c r="D215" s="11"/>
      <c r="E215" s="12"/>
      <c r="F215" s="44"/>
      <c r="G215" s="11"/>
      <c r="H215" s="11">
        <f>7960.4+215749.66898</f>
        <v>223710.06897999998</v>
      </c>
      <c r="I215" s="12">
        <f>SUM(H215-G215)</f>
        <v>223710.06897999998</v>
      </c>
      <c r="J215" s="14"/>
    </row>
    <row r="216" spans="1:10">
      <c r="A216" s="71">
        <v>6090</v>
      </c>
      <c r="B216" s="70" t="s">
        <v>149</v>
      </c>
      <c r="C216" s="11"/>
      <c r="D216" s="11">
        <v>94.297389999999993</v>
      </c>
      <c r="E216" s="12">
        <f t="shared" si="46"/>
        <v>94.297389999999993</v>
      </c>
      <c r="F216" s="13"/>
      <c r="G216" s="11">
        <f>889.71501</f>
        <v>889.71501000000001</v>
      </c>
      <c r="H216" s="91">
        <v>228.32719</v>
      </c>
      <c r="I216" s="12">
        <f>SUM(H216-G216)</f>
        <v>-661.38782000000003</v>
      </c>
      <c r="J216" s="13">
        <f t="shared" ref="J216" si="47">SUM(H216/G216*100)</f>
        <v>25.66295807463111</v>
      </c>
    </row>
    <row r="217" spans="1:10" ht="20.25">
      <c r="A217" s="45" t="s">
        <v>376</v>
      </c>
      <c r="B217" s="40" t="s">
        <v>377</v>
      </c>
      <c r="C217" s="49">
        <f>SUM(C218+C220+C230+C235)</f>
        <v>401467.83799999999</v>
      </c>
      <c r="D217" s="49">
        <f>SUM(D218+D220+D230+D235)</f>
        <v>721544.27799999993</v>
      </c>
      <c r="E217" s="31">
        <f>SUM(D217-C217)</f>
        <v>320076.43999999994</v>
      </c>
      <c r="F217" s="30" t="s">
        <v>500</v>
      </c>
      <c r="G217" s="49">
        <f>SUM(G218+G220+G230+G235)</f>
        <v>502370.47700000001</v>
      </c>
      <c r="H217" s="49">
        <f>SUM(H218+H220+H230+H235)</f>
        <v>1111376.5419999999</v>
      </c>
      <c r="I217" s="31">
        <f>SUM(H217-G217)</f>
        <v>609006.06499999994</v>
      </c>
      <c r="J217" s="30" t="s">
        <v>384</v>
      </c>
    </row>
    <row r="218" spans="1:10" ht="20.25">
      <c r="A218" s="45" t="s">
        <v>371</v>
      </c>
      <c r="B218" s="40" t="s">
        <v>370</v>
      </c>
      <c r="C218" s="148">
        <f>SUM(C219)</f>
        <v>198</v>
      </c>
      <c r="D218" s="49"/>
      <c r="E218" s="31"/>
      <c r="F218" s="13"/>
      <c r="G218" s="49"/>
      <c r="H218" s="49"/>
      <c r="I218" s="31"/>
      <c r="J218" s="32"/>
    </row>
    <row r="219" spans="1:10" ht="20.25">
      <c r="A219" s="75" t="s">
        <v>372</v>
      </c>
      <c r="B219" s="42" t="s">
        <v>373</v>
      </c>
      <c r="C219" s="91">
        <v>198</v>
      </c>
      <c r="D219" s="11"/>
      <c r="E219" s="12">
        <f t="shared" ref="E219:E220" si="48">SUM(D219-C219)</f>
        <v>-198</v>
      </c>
      <c r="F219" s="13"/>
      <c r="G219" s="49"/>
      <c r="H219" s="49"/>
      <c r="I219" s="31"/>
      <c r="J219" s="32"/>
    </row>
    <row r="220" spans="1:10" ht="20.25">
      <c r="A220" s="107" t="s">
        <v>95</v>
      </c>
      <c r="B220" s="108" t="s">
        <v>151</v>
      </c>
      <c r="C220" s="109"/>
      <c r="D220" s="109">
        <f>D228</f>
        <v>399.95</v>
      </c>
      <c r="E220" s="31">
        <f t="shared" si="48"/>
        <v>399.95</v>
      </c>
      <c r="F220" s="13"/>
      <c r="G220" s="109">
        <f>G221+G222+G226+G227+G228</f>
        <v>3.484</v>
      </c>
      <c r="H220" s="109">
        <f>H221+H222+H226+H227+H228+H229</f>
        <v>198721.467</v>
      </c>
      <c r="I220" s="109">
        <f t="shared" ref="I220:I222" si="49">SUM(H220-G220)</f>
        <v>198717.98300000001</v>
      </c>
      <c r="J220" s="111" t="s">
        <v>486</v>
      </c>
    </row>
    <row r="221" spans="1:10">
      <c r="A221" s="112">
        <v>7310</v>
      </c>
      <c r="B221" s="112" t="s">
        <v>152</v>
      </c>
      <c r="C221" s="113"/>
      <c r="D221" s="113"/>
      <c r="E221" s="114"/>
      <c r="F221" s="115"/>
      <c r="G221" s="113">
        <v>3.484</v>
      </c>
      <c r="H221" s="116">
        <v>1422.902</v>
      </c>
      <c r="I221" s="114">
        <f t="shared" si="49"/>
        <v>1419.4180000000001</v>
      </c>
      <c r="J221" s="117" t="s">
        <v>487</v>
      </c>
    </row>
    <row r="222" spans="1:10">
      <c r="A222" s="112">
        <v>7320</v>
      </c>
      <c r="B222" s="118" t="s">
        <v>156</v>
      </c>
      <c r="C222" s="114"/>
      <c r="D222" s="114"/>
      <c r="E222" s="114"/>
      <c r="F222" s="115"/>
      <c r="G222" s="113"/>
      <c r="H222" s="113">
        <f>H223+H224+H225</f>
        <v>2896.4840000000004</v>
      </c>
      <c r="I222" s="114">
        <f t="shared" si="49"/>
        <v>2896.4840000000004</v>
      </c>
      <c r="J222" s="13"/>
    </row>
    <row r="223" spans="1:10">
      <c r="A223" s="112">
        <v>7321</v>
      </c>
      <c r="B223" s="112" t="s">
        <v>153</v>
      </c>
      <c r="C223" s="119"/>
      <c r="D223" s="113"/>
      <c r="E223" s="114"/>
      <c r="F223" s="115"/>
      <c r="G223" s="113"/>
      <c r="H223" s="113">
        <v>437.93700000000001</v>
      </c>
      <c r="I223" s="114">
        <f>SUM(H223-G223)</f>
        <v>437.93700000000001</v>
      </c>
      <c r="J223" s="110"/>
    </row>
    <row r="224" spans="1:10">
      <c r="A224" s="112">
        <v>7322</v>
      </c>
      <c r="B224" s="120" t="s">
        <v>154</v>
      </c>
      <c r="C224" s="119"/>
      <c r="D224" s="113"/>
      <c r="E224" s="114"/>
      <c r="F224" s="115"/>
      <c r="G224" s="113"/>
      <c r="H224" s="113">
        <v>830.48800000000006</v>
      </c>
      <c r="I224" s="114">
        <f t="shared" ref="I224" si="50">SUM(H224-G224)</f>
        <v>830.48800000000006</v>
      </c>
      <c r="J224" s="117"/>
    </row>
    <row r="225" spans="1:10">
      <c r="A225" s="112">
        <v>7325</v>
      </c>
      <c r="B225" s="120" t="s">
        <v>155</v>
      </c>
      <c r="C225" s="119"/>
      <c r="D225" s="113"/>
      <c r="E225" s="114"/>
      <c r="F225" s="115"/>
      <c r="G225" s="113"/>
      <c r="H225" s="113">
        <v>1628.059</v>
      </c>
      <c r="I225" s="114">
        <f t="shared" ref="I225:I229" si="51">SUM(H225-G225)</f>
        <v>1628.059</v>
      </c>
      <c r="J225" s="13"/>
    </row>
    <row r="226" spans="1:10">
      <c r="A226" s="112">
        <v>7330</v>
      </c>
      <c r="B226" s="120" t="s">
        <v>222</v>
      </c>
      <c r="C226" s="113"/>
      <c r="D226" s="113"/>
      <c r="E226" s="114"/>
      <c r="F226" s="115"/>
      <c r="G226" s="113"/>
      <c r="H226" s="113">
        <v>1755.3040000000001</v>
      </c>
      <c r="I226" s="114">
        <f t="shared" si="51"/>
        <v>1755.3040000000001</v>
      </c>
      <c r="J226" s="110"/>
    </row>
    <row r="227" spans="1:10">
      <c r="A227" s="112">
        <v>7340</v>
      </c>
      <c r="B227" s="120" t="s">
        <v>223</v>
      </c>
      <c r="C227" s="113"/>
      <c r="D227" s="113"/>
      <c r="E227" s="114"/>
      <c r="F227" s="115"/>
      <c r="G227" s="113"/>
      <c r="H227" s="113">
        <v>1165.9349999999999</v>
      </c>
      <c r="I227" s="114">
        <f t="shared" si="51"/>
        <v>1165.9349999999999</v>
      </c>
      <c r="J227" s="110"/>
    </row>
    <row r="228" spans="1:10">
      <c r="A228" s="121" t="s">
        <v>168</v>
      </c>
      <c r="B228" s="122" t="s">
        <v>169</v>
      </c>
      <c r="C228" s="116"/>
      <c r="D228" s="116">
        <v>399.95</v>
      </c>
      <c r="E228" s="114">
        <f>D228-C228</f>
        <v>399.95</v>
      </c>
      <c r="F228" s="110"/>
      <c r="G228" s="113"/>
      <c r="H228" s="113">
        <v>2605.3200000000002</v>
      </c>
      <c r="I228" s="114">
        <f t="shared" si="51"/>
        <v>2605.3200000000002</v>
      </c>
      <c r="J228" s="13"/>
    </row>
    <row r="229" spans="1:10">
      <c r="A229" s="121" t="s">
        <v>361</v>
      </c>
      <c r="B229" s="122" t="s">
        <v>362</v>
      </c>
      <c r="C229" s="116"/>
      <c r="D229" s="116"/>
      <c r="E229" s="114"/>
      <c r="F229" s="115"/>
      <c r="G229" s="116"/>
      <c r="H229" s="116">
        <v>188875.522</v>
      </c>
      <c r="I229" s="114">
        <f t="shared" si="51"/>
        <v>188875.522</v>
      </c>
      <c r="J229" s="13"/>
    </row>
    <row r="230" spans="1:10" ht="20.25">
      <c r="A230" s="123" t="s">
        <v>100</v>
      </c>
      <c r="B230" s="108" t="s">
        <v>157</v>
      </c>
      <c r="C230" s="109">
        <f>SUM(C231+C233)</f>
        <v>396218.88699999999</v>
      </c>
      <c r="D230" s="109">
        <f>SUM(D231+D233)</f>
        <v>700745.67099999997</v>
      </c>
      <c r="E230" s="109">
        <f t="shared" ref="E230:E238" si="52">SUM(D230-C230)</f>
        <v>304526.78399999999</v>
      </c>
      <c r="F230" s="30" t="s">
        <v>500</v>
      </c>
      <c r="G230" s="109"/>
      <c r="H230" s="109">
        <f>SUM(H231+H233)</f>
        <v>69887.145999999993</v>
      </c>
      <c r="I230" s="109">
        <f>SUM(H230-G230)</f>
        <v>69887.145999999993</v>
      </c>
      <c r="J230" s="13"/>
    </row>
    <row r="231" spans="1:10">
      <c r="A231" s="124">
        <v>7420</v>
      </c>
      <c r="B231" s="120" t="s">
        <v>161</v>
      </c>
      <c r="C231" s="114">
        <f>C232</f>
        <v>245354.91800000001</v>
      </c>
      <c r="D231" s="114">
        <f>D232</f>
        <v>286100</v>
      </c>
      <c r="E231" s="114">
        <f t="shared" si="52"/>
        <v>40745.081999999995</v>
      </c>
      <c r="F231" s="13">
        <f t="shared" ref="F231:F232" si="53">SUM(D231/C231*100)</f>
        <v>116.60658866434461</v>
      </c>
      <c r="G231" s="114"/>
      <c r="H231" s="114"/>
      <c r="I231" s="114"/>
      <c r="J231" s="14"/>
    </row>
    <row r="232" spans="1:10">
      <c r="A232" s="125" t="s">
        <v>160</v>
      </c>
      <c r="B232" s="120" t="s">
        <v>99</v>
      </c>
      <c r="C232" s="114">
        <v>245354.91800000001</v>
      </c>
      <c r="D232" s="116">
        <v>286100</v>
      </c>
      <c r="E232" s="114">
        <f t="shared" si="52"/>
        <v>40745.081999999995</v>
      </c>
      <c r="F232" s="13">
        <f t="shared" si="53"/>
        <v>116.60658866434461</v>
      </c>
      <c r="G232" s="114"/>
      <c r="H232" s="114"/>
      <c r="I232" s="114"/>
      <c r="J232" s="14"/>
    </row>
    <row r="233" spans="1:10" ht="18" customHeight="1">
      <c r="A233" s="112">
        <v>7460</v>
      </c>
      <c r="B233" s="120" t="s">
        <v>158</v>
      </c>
      <c r="C233" s="116">
        <f>C234</f>
        <v>150863.96900000001</v>
      </c>
      <c r="D233" s="116">
        <f>D234</f>
        <v>414645.67099999997</v>
      </c>
      <c r="E233" s="114">
        <f t="shared" si="52"/>
        <v>263781.70199999993</v>
      </c>
      <c r="F233" s="117" t="s">
        <v>398</v>
      </c>
      <c r="G233" s="116"/>
      <c r="H233" s="116">
        <f>H234</f>
        <v>69887.145999999993</v>
      </c>
      <c r="I233" s="114">
        <f>SUM(H233-G233)</f>
        <v>69887.145999999993</v>
      </c>
      <c r="J233" s="13"/>
    </row>
    <row r="234" spans="1:10" ht="37.5">
      <c r="A234" s="112">
        <v>7461</v>
      </c>
      <c r="B234" s="120" t="s">
        <v>159</v>
      </c>
      <c r="C234" s="113">
        <v>150863.96900000001</v>
      </c>
      <c r="D234" s="113">
        <v>414645.67099999997</v>
      </c>
      <c r="E234" s="114">
        <f t="shared" si="52"/>
        <v>263781.70199999993</v>
      </c>
      <c r="F234" s="117" t="s">
        <v>398</v>
      </c>
      <c r="G234" s="113"/>
      <c r="H234" s="113">
        <f>69887.146</f>
        <v>69887.145999999993</v>
      </c>
      <c r="I234" s="114">
        <f>SUM(H234-G234)</f>
        <v>69887.145999999993</v>
      </c>
      <c r="J234" s="13"/>
    </row>
    <row r="235" spans="1:10" ht="20.25">
      <c r="A235" s="126" t="s">
        <v>107</v>
      </c>
      <c r="B235" s="127" t="s">
        <v>162</v>
      </c>
      <c r="C235" s="128">
        <f>SUM(C236:C242)</f>
        <v>5050.9509999999991</v>
      </c>
      <c r="D235" s="128">
        <f>SUM(D236:D242)</f>
        <v>20398.656999999999</v>
      </c>
      <c r="E235" s="109">
        <f t="shared" si="52"/>
        <v>15347.706</v>
      </c>
      <c r="F235" s="111" t="s">
        <v>496</v>
      </c>
      <c r="G235" s="128">
        <f>SUM(G236:G242)</f>
        <v>502366.99300000002</v>
      </c>
      <c r="H235" s="128">
        <f>SUM(H236:H242)</f>
        <v>842767.929</v>
      </c>
      <c r="I235" s="109">
        <f>SUM(H235-G235)</f>
        <v>340400.93599999999</v>
      </c>
      <c r="J235" s="111" t="s">
        <v>402</v>
      </c>
    </row>
    <row r="236" spans="1:10">
      <c r="A236" s="129" t="s">
        <v>209</v>
      </c>
      <c r="B236" s="130" t="s">
        <v>106</v>
      </c>
      <c r="C236" s="113">
        <v>42.3</v>
      </c>
      <c r="D236" s="131"/>
      <c r="E236" s="114">
        <f t="shared" si="52"/>
        <v>-42.3</v>
      </c>
      <c r="F236" s="13"/>
      <c r="G236" s="113"/>
      <c r="H236" s="113"/>
      <c r="I236" s="114"/>
      <c r="J236" s="110"/>
    </row>
    <row r="237" spans="1:10">
      <c r="A237" s="129" t="s">
        <v>234</v>
      </c>
      <c r="B237" s="132" t="s">
        <v>235</v>
      </c>
      <c r="C237" s="113">
        <v>119.81</v>
      </c>
      <c r="D237" s="131"/>
      <c r="E237" s="114">
        <f t="shared" si="52"/>
        <v>-119.81</v>
      </c>
      <c r="F237" s="13"/>
      <c r="G237" s="113"/>
      <c r="H237" s="113"/>
      <c r="I237" s="114"/>
      <c r="J237" s="110"/>
    </row>
    <row r="238" spans="1:10">
      <c r="A238" s="129" t="s">
        <v>163</v>
      </c>
      <c r="B238" s="130" t="s">
        <v>104</v>
      </c>
      <c r="C238" s="113">
        <v>130.38800000000001</v>
      </c>
      <c r="D238" s="131">
        <v>10360.901</v>
      </c>
      <c r="E238" s="114">
        <f t="shared" si="52"/>
        <v>10230.512999999999</v>
      </c>
      <c r="F238" s="117" t="s">
        <v>488</v>
      </c>
      <c r="G238" s="113">
        <v>110.651</v>
      </c>
      <c r="H238" s="116">
        <v>24418.235000000001</v>
      </c>
      <c r="I238" s="114">
        <f>SUM(H238-G238)</f>
        <v>24307.583999999999</v>
      </c>
      <c r="J238" s="110" t="s">
        <v>489</v>
      </c>
    </row>
    <row r="239" spans="1:10">
      <c r="A239" s="129" t="s">
        <v>214</v>
      </c>
      <c r="B239" s="130" t="s">
        <v>215</v>
      </c>
      <c r="C239" s="133"/>
      <c r="D239" s="133"/>
      <c r="E239" s="114"/>
      <c r="F239" s="115"/>
      <c r="G239" s="113"/>
      <c r="H239" s="113"/>
      <c r="I239" s="114"/>
      <c r="J239" s="110"/>
    </row>
    <row r="240" spans="1:10">
      <c r="A240" s="121" t="s">
        <v>164</v>
      </c>
      <c r="B240" s="130" t="s">
        <v>101</v>
      </c>
      <c r="C240" s="113"/>
      <c r="D240" s="113"/>
      <c r="E240" s="114"/>
      <c r="F240" s="115"/>
      <c r="G240" s="113">
        <v>499252.74599999998</v>
      </c>
      <c r="H240" s="113">
        <v>802147.03700000001</v>
      </c>
      <c r="I240" s="114">
        <f t="shared" ref="I240" si="54">SUM(H240-G240)</f>
        <v>302894.29100000003</v>
      </c>
      <c r="J240" s="117" t="s">
        <v>490</v>
      </c>
    </row>
    <row r="241" spans="1:10">
      <c r="A241" s="121" t="s">
        <v>200</v>
      </c>
      <c r="B241" s="130" t="s">
        <v>207</v>
      </c>
      <c r="C241" s="113">
        <v>499.90600000000001</v>
      </c>
      <c r="D241" s="131">
        <v>843.51099999999997</v>
      </c>
      <c r="E241" s="114">
        <f>SUM(D241-C241)</f>
        <v>343.60499999999996</v>
      </c>
      <c r="F241" s="117" t="s">
        <v>402</v>
      </c>
      <c r="G241" s="113"/>
      <c r="H241" s="113"/>
      <c r="I241" s="114"/>
      <c r="J241" s="110"/>
    </row>
    <row r="242" spans="1:10">
      <c r="A242" s="121" t="s">
        <v>166</v>
      </c>
      <c r="B242" s="134" t="s">
        <v>165</v>
      </c>
      <c r="C242" s="113">
        <f>C243+C244</f>
        <v>4258.5469999999996</v>
      </c>
      <c r="D242" s="113">
        <f>D243+D244</f>
        <v>9194.2450000000008</v>
      </c>
      <c r="E242" s="114">
        <f>SUM(D242-C242)</f>
        <v>4935.6980000000012</v>
      </c>
      <c r="F242" s="117" t="s">
        <v>384</v>
      </c>
      <c r="G242" s="113">
        <f>G243+G244</f>
        <v>3003.596</v>
      </c>
      <c r="H242" s="113">
        <f>H243+H244</f>
        <v>16202.656999999999</v>
      </c>
      <c r="I242" s="114">
        <f>SUM(H242-G242)</f>
        <v>13199.061</v>
      </c>
      <c r="J242" s="110" t="s">
        <v>416</v>
      </c>
    </row>
    <row r="243" spans="1:10" ht="75">
      <c r="A243" s="121" t="s">
        <v>231</v>
      </c>
      <c r="B243" s="120" t="s">
        <v>232</v>
      </c>
      <c r="C243" s="113"/>
      <c r="D243" s="113"/>
      <c r="E243" s="113"/>
      <c r="F243" s="117"/>
      <c r="G243" s="113">
        <v>3003.596</v>
      </c>
      <c r="H243" s="116">
        <v>18.106000000000002</v>
      </c>
      <c r="I243" s="114">
        <f t="shared" ref="I243" si="55">SUM(H243-G243)</f>
        <v>-2985.49</v>
      </c>
      <c r="J243" s="13">
        <f>SUM(H243/G243*100)</f>
        <v>0.60281076416402213</v>
      </c>
    </row>
    <row r="244" spans="1:10">
      <c r="A244" s="121" t="s">
        <v>167</v>
      </c>
      <c r="B244" s="120" t="s">
        <v>105</v>
      </c>
      <c r="C244" s="113">
        <v>4258.5469999999996</v>
      </c>
      <c r="D244" s="131">
        <v>9194.2450000000008</v>
      </c>
      <c r="E244" s="114">
        <f>SUM(D244-C244)</f>
        <v>4935.6980000000012</v>
      </c>
      <c r="F244" s="117" t="s">
        <v>358</v>
      </c>
      <c r="G244" s="113"/>
      <c r="H244" s="113">
        <v>16184.550999999999</v>
      </c>
      <c r="I244" s="114">
        <f>SUM(H244-G244)</f>
        <v>16184.550999999999</v>
      </c>
      <c r="J244" s="13"/>
    </row>
    <row r="245" spans="1:10" ht="20.25">
      <c r="A245" s="135" t="s">
        <v>96</v>
      </c>
      <c r="B245" s="108" t="s">
        <v>183</v>
      </c>
      <c r="C245" s="49">
        <f>SUM(C246)+C249+C255+C256</f>
        <v>108244.943</v>
      </c>
      <c r="D245" s="49">
        <f>SUM(D246)+D249+D255+D256</f>
        <v>46430.808000000005</v>
      </c>
      <c r="E245" s="31">
        <f>SUM(D245-C245)</f>
        <v>-61814.134999999995</v>
      </c>
      <c r="F245" s="30">
        <f>SUM(D245/C245*100)</f>
        <v>42.894205228598999</v>
      </c>
      <c r="G245" s="49">
        <f>SUM(G246)+G249+G253+G256</f>
        <v>53410.375</v>
      </c>
      <c r="H245" s="49">
        <f>SUM(H246)+H249+H253+H256</f>
        <v>51606.690999999999</v>
      </c>
      <c r="I245" s="31">
        <f t="shared" ref="I245:I247" si="56">SUM(H245-G245)</f>
        <v>-1803.6840000000011</v>
      </c>
      <c r="J245" s="30">
        <f t="shared" ref="J245:J247" si="57">SUM(H245/G245*100)</f>
        <v>96.622970724320879</v>
      </c>
    </row>
    <row r="246" spans="1:10" ht="40.5">
      <c r="A246" s="136" t="s">
        <v>170</v>
      </c>
      <c r="B246" s="127" t="s">
        <v>171</v>
      </c>
      <c r="C246" s="128">
        <f>SUM(C247:C248)</f>
        <v>42543.951999999997</v>
      </c>
      <c r="D246" s="128">
        <f>SUM(D247:D248)</f>
        <v>34287.637000000002</v>
      </c>
      <c r="E246" s="109">
        <f>SUM(D246-C246)</f>
        <v>-8256.3149999999951</v>
      </c>
      <c r="F246" s="111">
        <f>SUM(D246/C246*100)</f>
        <v>80.593446043752607</v>
      </c>
      <c r="G246" s="128">
        <f>SUM(G247:G248)</f>
        <v>48369.53</v>
      </c>
      <c r="H246" s="128">
        <f>SUM(H247:H248)</f>
        <v>38694.300999999999</v>
      </c>
      <c r="I246" s="109">
        <f t="shared" si="56"/>
        <v>-9675.2289999999994</v>
      </c>
      <c r="J246" s="111">
        <f t="shared" si="57"/>
        <v>79.997264806997308</v>
      </c>
    </row>
    <row r="247" spans="1:10">
      <c r="A247" s="121" t="s">
        <v>172</v>
      </c>
      <c r="B247" s="120" t="s">
        <v>173</v>
      </c>
      <c r="C247" s="113">
        <f>7474.826+883.359+34185.593</f>
        <v>42543.777999999998</v>
      </c>
      <c r="D247" s="131">
        <v>34287.637000000002</v>
      </c>
      <c r="E247" s="114">
        <f>SUM(D247-C247)</f>
        <v>-8256.140999999996</v>
      </c>
      <c r="F247" s="117">
        <f>SUM(D247/C247*100)</f>
        <v>80.593775663270904</v>
      </c>
      <c r="G247" s="113">
        <v>48369.53</v>
      </c>
      <c r="H247" s="113">
        <v>38694.300999999999</v>
      </c>
      <c r="I247" s="114">
        <f t="shared" si="56"/>
        <v>-9675.2289999999994</v>
      </c>
      <c r="J247" s="117">
        <f t="shared" si="57"/>
        <v>79.997264806997308</v>
      </c>
    </row>
    <row r="248" spans="1:10">
      <c r="A248" s="121" t="s">
        <v>97</v>
      </c>
      <c r="B248" s="120" t="s">
        <v>174</v>
      </c>
      <c r="C248" s="113">
        <v>0.17399999999999999</v>
      </c>
      <c r="D248" s="131"/>
      <c r="E248" s="114">
        <f t="shared" ref="E248" si="58">D248-C248</f>
        <v>-0.17399999999999999</v>
      </c>
      <c r="F248" s="117"/>
      <c r="G248" s="113"/>
      <c r="H248" s="113"/>
      <c r="I248" s="114"/>
      <c r="J248" s="110"/>
    </row>
    <row r="249" spans="1:10">
      <c r="A249" s="72" t="s">
        <v>179</v>
      </c>
      <c r="B249" s="78" t="s">
        <v>184</v>
      </c>
      <c r="C249" s="49">
        <f>SUM(C250:C252)</f>
        <v>40492.879000000001</v>
      </c>
      <c r="D249" s="49">
        <f>SUM(D250:D252)</f>
        <v>11308.578</v>
      </c>
      <c r="E249" s="31">
        <f>SUM(D249-C249)</f>
        <v>-29184.300999999999</v>
      </c>
      <c r="F249" s="30">
        <f t="shared" ref="F249" si="59">SUM(D249/C249*100)</f>
        <v>27.927325197104409</v>
      </c>
      <c r="G249" s="49">
        <f>SUM(G250:G252)</f>
        <v>1602.896</v>
      </c>
      <c r="H249" s="49">
        <f>SUM(H250:H252)</f>
        <v>12912.390000000001</v>
      </c>
      <c r="I249" s="31">
        <f t="shared" ref="I249" si="60">SUM(H249-G249)</f>
        <v>11309.494000000001</v>
      </c>
      <c r="J249" s="111" t="s">
        <v>491</v>
      </c>
    </row>
    <row r="250" spans="1:10" ht="21.75" customHeight="1">
      <c r="A250" s="17" t="s">
        <v>180</v>
      </c>
      <c r="B250" s="42" t="s">
        <v>195</v>
      </c>
      <c r="C250" s="50">
        <v>273.5</v>
      </c>
      <c r="D250" s="76">
        <v>620</v>
      </c>
      <c r="E250" s="12"/>
      <c r="F250" s="117" t="s">
        <v>391</v>
      </c>
      <c r="G250" s="11"/>
      <c r="H250" s="11">
        <v>70.2</v>
      </c>
      <c r="I250" s="114">
        <f t="shared" ref="I250" si="61">SUM(H250-G250)</f>
        <v>70.2</v>
      </c>
      <c r="J250" s="117"/>
    </row>
    <row r="251" spans="1:10">
      <c r="A251" s="17" t="s">
        <v>181</v>
      </c>
      <c r="B251" s="42" t="s">
        <v>185</v>
      </c>
      <c r="C251" s="50">
        <v>516.48099999999999</v>
      </c>
      <c r="D251" s="92"/>
      <c r="E251" s="12">
        <f>SUM(D251-C251)</f>
        <v>-516.48099999999999</v>
      </c>
      <c r="F251" s="117"/>
      <c r="G251" s="11"/>
      <c r="H251" s="11"/>
      <c r="I251" s="12"/>
      <c r="J251" s="14"/>
    </row>
    <row r="252" spans="1:10">
      <c r="A252" s="17" t="s">
        <v>368</v>
      </c>
      <c r="B252" s="93" t="s">
        <v>374</v>
      </c>
      <c r="C252" s="93">
        <v>39702.898000000001</v>
      </c>
      <c r="D252" s="76">
        <v>10688.578</v>
      </c>
      <c r="E252" s="12">
        <f>SUM(D252-C252)</f>
        <v>-29014.32</v>
      </c>
      <c r="F252" s="117">
        <f t="shared" ref="F252" si="62">SUM(D252/C252*100)</f>
        <v>26.921405082319179</v>
      </c>
      <c r="G252" s="11">
        <v>1602.896</v>
      </c>
      <c r="H252" s="91">
        <v>12842.19</v>
      </c>
      <c r="I252" s="12">
        <f t="shared" ref="I252:I253" si="63">SUM(H252-G252)</f>
        <v>11239.294</v>
      </c>
      <c r="J252" s="117" t="s">
        <v>492</v>
      </c>
    </row>
    <row r="253" spans="1:10">
      <c r="A253" s="47" t="s">
        <v>201</v>
      </c>
      <c r="B253" s="48" t="s">
        <v>205</v>
      </c>
      <c r="C253" s="49"/>
      <c r="D253" s="128"/>
      <c r="E253" s="12"/>
      <c r="F253" s="13"/>
      <c r="G253" s="31">
        <f>SUM(G254)</f>
        <v>49.9</v>
      </c>
      <c r="H253" s="31">
        <f>SUM(H254)</f>
        <v>0</v>
      </c>
      <c r="I253" s="31">
        <f t="shared" si="63"/>
        <v>-49.9</v>
      </c>
      <c r="J253" s="111">
        <f t="shared" ref="J253" si="64">SUM(H253/G253*100)</f>
        <v>0</v>
      </c>
    </row>
    <row r="254" spans="1:10">
      <c r="A254" s="121" t="s">
        <v>202</v>
      </c>
      <c r="B254" s="120" t="s">
        <v>204</v>
      </c>
      <c r="C254" s="113"/>
      <c r="D254" s="113"/>
      <c r="E254" s="114"/>
      <c r="F254" s="117"/>
      <c r="G254" s="113">
        <v>49.9</v>
      </c>
      <c r="H254" s="116"/>
      <c r="I254" s="114"/>
      <c r="J254" s="137"/>
    </row>
    <row r="255" spans="1:10">
      <c r="A255" s="47" t="s">
        <v>355</v>
      </c>
      <c r="B255" s="48" t="s">
        <v>356</v>
      </c>
      <c r="C255" s="49">
        <v>922.74300000000005</v>
      </c>
      <c r="D255" s="138">
        <v>834.59299999999996</v>
      </c>
      <c r="E255" s="31">
        <f t="shared" ref="E255:E261" si="65">SUM(D255-C255)</f>
        <v>-88.150000000000091</v>
      </c>
      <c r="F255" s="30">
        <f>SUM(D255/C255*100)</f>
        <v>90.446960854755858</v>
      </c>
      <c r="G255" s="139"/>
      <c r="H255" s="139"/>
      <c r="I255" s="55"/>
      <c r="J255" s="55"/>
    </row>
    <row r="256" spans="1:10">
      <c r="A256" s="47" t="s">
        <v>266</v>
      </c>
      <c r="B256" s="48" t="s">
        <v>267</v>
      </c>
      <c r="C256" s="49">
        <f>SUM(C259+C258+C257)</f>
        <v>24285.368999999999</v>
      </c>
      <c r="D256" s="49">
        <f>SUM(D259)</f>
        <v>0</v>
      </c>
      <c r="E256" s="109">
        <f t="shared" si="65"/>
        <v>-24285.368999999999</v>
      </c>
      <c r="F256" s="111">
        <f t="shared" ref="F256" si="66">SUM(D256/C256*100)</f>
        <v>0</v>
      </c>
      <c r="G256" s="49">
        <f>G259+G258</f>
        <v>3388.049</v>
      </c>
      <c r="H256" s="49">
        <f>H259+H258</f>
        <v>0</v>
      </c>
      <c r="I256" s="31">
        <f t="shared" ref="I256:I260" si="67">SUM(H256-G256)</f>
        <v>-3388.049</v>
      </c>
      <c r="J256" s="30">
        <f t="shared" ref="J256:J260" si="68">SUM(H256/G256*100)</f>
        <v>0</v>
      </c>
    </row>
    <row r="257" spans="1:13" ht="16.5" customHeight="1">
      <c r="A257" s="17" t="s">
        <v>380</v>
      </c>
      <c r="B257" s="140" t="s">
        <v>379</v>
      </c>
      <c r="C257" s="11">
        <v>699.97400000000005</v>
      </c>
      <c r="D257" s="49"/>
      <c r="E257" s="114">
        <f t="shared" si="65"/>
        <v>-699.97400000000005</v>
      </c>
      <c r="F257" s="117"/>
      <c r="G257" s="49"/>
      <c r="H257" s="49"/>
      <c r="I257" s="12"/>
      <c r="J257" s="13"/>
    </row>
    <row r="258" spans="1:13" ht="37.5">
      <c r="A258" s="17" t="s">
        <v>382</v>
      </c>
      <c r="B258" s="140" t="s">
        <v>381</v>
      </c>
      <c r="C258" s="11">
        <v>16138.312</v>
      </c>
      <c r="D258" s="49"/>
      <c r="E258" s="114">
        <f t="shared" si="65"/>
        <v>-16138.312</v>
      </c>
      <c r="F258" s="117"/>
      <c r="G258" s="11">
        <v>458.34899999999999</v>
      </c>
      <c r="H258" s="49"/>
      <c r="I258" s="114">
        <f t="shared" ref="I258" si="69">SUM(H258-G258)</f>
        <v>-458.34899999999999</v>
      </c>
      <c r="J258" s="117">
        <f t="shared" ref="J258" si="70">SUM(H258/G258*100)</f>
        <v>0</v>
      </c>
    </row>
    <row r="259" spans="1:13">
      <c r="A259" s="121" t="s">
        <v>268</v>
      </c>
      <c r="B259" s="141" t="s">
        <v>269</v>
      </c>
      <c r="C259" s="113">
        <f>SUM(C260)</f>
        <v>7447.0829999999996</v>
      </c>
      <c r="D259" s="113"/>
      <c r="E259" s="114">
        <f t="shared" si="65"/>
        <v>-7447.0829999999996</v>
      </c>
      <c r="F259" s="117"/>
      <c r="G259" s="113">
        <f>G260</f>
        <v>2929.7</v>
      </c>
      <c r="H259" s="113"/>
      <c r="I259" s="114">
        <f t="shared" si="67"/>
        <v>-2929.7</v>
      </c>
      <c r="J259" s="117">
        <f t="shared" si="68"/>
        <v>0</v>
      </c>
    </row>
    <row r="260" spans="1:13">
      <c r="A260" s="142" t="s">
        <v>369</v>
      </c>
      <c r="B260" s="143" t="s">
        <v>375</v>
      </c>
      <c r="C260" s="144">
        <v>7447.0829999999996</v>
      </c>
      <c r="D260" s="131">
        <v>0</v>
      </c>
      <c r="E260" s="114">
        <f t="shared" si="65"/>
        <v>-7447.0829999999996</v>
      </c>
      <c r="F260" s="117"/>
      <c r="G260" s="114">
        <v>2929.7</v>
      </c>
      <c r="H260" s="116"/>
      <c r="I260" s="114">
        <f t="shared" si="67"/>
        <v>-2929.7</v>
      </c>
      <c r="J260" s="117">
        <f t="shared" si="68"/>
        <v>0</v>
      </c>
    </row>
    <row r="261" spans="1:13" ht="20.25">
      <c r="A261" s="29"/>
      <c r="B261" s="52" t="s">
        <v>17</v>
      </c>
      <c r="C261" s="73">
        <f>C106+C110+C139+C148+C184+C190+C204+C217+C245</f>
        <v>3494243.6862199991</v>
      </c>
      <c r="D261" s="73">
        <f>D106+D110+D139+D148+D184+D190+D204+D217+D245</f>
        <v>4339987.10573</v>
      </c>
      <c r="E261" s="31">
        <f t="shared" si="65"/>
        <v>845743.41951000085</v>
      </c>
      <c r="F261" s="30">
        <f t="shared" ref="F261:F263" si="71">SUM(D261/C261*100)</f>
        <v>124.20390492069282</v>
      </c>
      <c r="G261" s="73">
        <f>G106+G110+G139+G148+G184+G190+G204+G217+G245</f>
        <v>725801.01630000002</v>
      </c>
      <c r="H261" s="73">
        <f>H106+H110+H139+H148+H184+H190+H204+H217+H245</f>
        <v>2064443.32739</v>
      </c>
      <c r="I261" s="31">
        <f t="shared" ref="I261" si="72">SUM(H261-G261)</f>
        <v>1338642.31109</v>
      </c>
      <c r="J261" s="137" t="s">
        <v>401</v>
      </c>
    </row>
    <row r="262" spans="1:13" ht="20.25">
      <c r="A262" s="29"/>
      <c r="B262" s="52" t="s">
        <v>15</v>
      </c>
      <c r="C262" s="73">
        <f>SUM(C263:C265)</f>
        <v>92872.990999999995</v>
      </c>
      <c r="D262" s="73">
        <f>SUM(D263:D265)</f>
        <v>276865.21000000002</v>
      </c>
      <c r="E262" s="31">
        <f t="shared" ref="E262:E266" si="73">SUM(D262-C262)</f>
        <v>183992.21900000004</v>
      </c>
      <c r="F262" s="30" t="s">
        <v>501</v>
      </c>
      <c r="G262" s="73"/>
      <c r="H262" s="73"/>
      <c r="I262" s="31"/>
      <c r="J262" s="32"/>
    </row>
    <row r="263" spans="1:13">
      <c r="A263" s="33" t="s">
        <v>182</v>
      </c>
      <c r="B263" s="34" t="s">
        <v>29</v>
      </c>
      <c r="C263" s="43">
        <v>20065.666000000001</v>
      </c>
      <c r="D263" s="11"/>
      <c r="E263" s="12"/>
      <c r="F263" s="117">
        <f t="shared" si="71"/>
        <v>0</v>
      </c>
      <c r="G263" s="73"/>
      <c r="H263" s="73"/>
      <c r="I263" s="12"/>
      <c r="J263" s="14"/>
    </row>
    <row r="264" spans="1:13">
      <c r="A264" s="33" t="s">
        <v>210</v>
      </c>
      <c r="B264" s="27" t="s">
        <v>206</v>
      </c>
      <c r="C264" s="12">
        <v>57500</v>
      </c>
      <c r="D264" s="11">
        <v>65094.281999999999</v>
      </c>
      <c r="E264" s="12">
        <f t="shared" ref="E264" si="74">SUM(D264-C264)</f>
        <v>7594.2819999999992</v>
      </c>
      <c r="F264" s="13">
        <f>SUM(D264/C264*100)</f>
        <v>113.20744695652174</v>
      </c>
      <c r="G264" s="12"/>
      <c r="H264" s="12"/>
      <c r="I264" s="12"/>
      <c r="J264" s="14"/>
    </row>
    <row r="265" spans="1:13" ht="37.5">
      <c r="A265" s="33" t="s">
        <v>219</v>
      </c>
      <c r="B265" s="27" t="s">
        <v>220</v>
      </c>
      <c r="C265" s="43">
        <v>15307.325000000001</v>
      </c>
      <c r="D265" s="11">
        <v>211770.92800000001</v>
      </c>
      <c r="E265" s="12">
        <f t="shared" ref="E265" si="75">SUM(D265-C265)</f>
        <v>196463.603</v>
      </c>
      <c r="F265" s="13" t="s">
        <v>493</v>
      </c>
      <c r="G265" s="12"/>
      <c r="H265" s="12"/>
      <c r="I265" s="12"/>
      <c r="J265" s="14"/>
    </row>
    <row r="266" spans="1:13" ht="20.25">
      <c r="A266" s="15"/>
      <c r="B266" s="53" t="s">
        <v>19</v>
      </c>
      <c r="C266" s="49">
        <f>C261+C262</f>
        <v>3587116.677219999</v>
      </c>
      <c r="D266" s="49">
        <f>D261+D262</f>
        <v>4616852.3157299999</v>
      </c>
      <c r="E266" s="31">
        <f t="shared" si="73"/>
        <v>1029735.6385100009</v>
      </c>
      <c r="F266" s="30">
        <f>SUM(D266/C266*100)</f>
        <v>128.70649970906555</v>
      </c>
      <c r="G266" s="49">
        <f>G261+G262</f>
        <v>725801.01630000002</v>
      </c>
      <c r="H266" s="49">
        <f>H261+H262</f>
        <v>2064443.32739</v>
      </c>
      <c r="I266" s="31">
        <f t="shared" ref="I266" si="76">SUM(H266-G266)</f>
        <v>1338642.31109</v>
      </c>
      <c r="J266" s="137" t="s">
        <v>401</v>
      </c>
    </row>
    <row r="267" spans="1:13" ht="20.25">
      <c r="A267" s="145"/>
      <c r="B267" s="146" t="s">
        <v>18</v>
      </c>
      <c r="C267" s="109"/>
      <c r="D267" s="109"/>
      <c r="E267" s="109"/>
      <c r="F267" s="110"/>
      <c r="G267" s="109">
        <f>SUM(G269:G270)</f>
        <v>-5705.4</v>
      </c>
      <c r="H267" s="109">
        <f>SUM(H269:H270)</f>
        <v>2642.7090000000007</v>
      </c>
      <c r="I267" s="109">
        <f t="shared" ref="I267" si="77">SUM(H267-G267)</f>
        <v>8348.1090000000004</v>
      </c>
      <c r="J267" s="137">
        <f t="shared" ref="J267:J268" si="78">SUM(H267/G267*100)</f>
        <v>-46.319434220212443</v>
      </c>
    </row>
    <row r="268" spans="1:13" ht="40.5">
      <c r="A268" s="145" t="s">
        <v>177</v>
      </c>
      <c r="B268" s="146" t="s">
        <v>178</v>
      </c>
      <c r="C268" s="109"/>
      <c r="D268" s="109"/>
      <c r="E268" s="109"/>
      <c r="F268" s="110"/>
      <c r="G268" s="109">
        <f>SUM(G269:G270)</f>
        <v>-5705.4</v>
      </c>
      <c r="H268" s="109">
        <f>SUM(H269:H270)</f>
        <v>2642.7090000000007</v>
      </c>
      <c r="I268" s="109">
        <f t="shared" ref="I268" si="79">SUM(H268-G268)</f>
        <v>8348.1090000000004</v>
      </c>
      <c r="J268" s="137">
        <f t="shared" si="78"/>
        <v>-46.319434220212443</v>
      </c>
    </row>
    <row r="269" spans="1:13" ht="37.5">
      <c r="A269" s="121" t="s">
        <v>175</v>
      </c>
      <c r="B269" s="147" t="s">
        <v>224</v>
      </c>
      <c r="C269" s="114"/>
      <c r="D269" s="114"/>
      <c r="E269" s="114"/>
      <c r="F269" s="110"/>
      <c r="G269" s="114"/>
      <c r="H269" s="114">
        <v>9075.5130000000008</v>
      </c>
      <c r="I269" s="114"/>
      <c r="J269" s="110"/>
      <c r="L269" s="96"/>
      <c r="M269" s="96"/>
    </row>
    <row r="270" spans="1:13" ht="37.5">
      <c r="A270" s="121" t="s">
        <v>176</v>
      </c>
      <c r="B270" s="147" t="s">
        <v>225</v>
      </c>
      <c r="C270" s="114"/>
      <c r="D270" s="114"/>
      <c r="E270" s="114"/>
      <c r="F270" s="117"/>
      <c r="G270" s="114">
        <v>-5705.4</v>
      </c>
      <c r="H270" s="114">
        <v>-6432.8040000000001</v>
      </c>
      <c r="I270" s="114">
        <f t="shared" ref="I270:I271" si="80">SUM(H270-G270)</f>
        <v>-727.40400000000045</v>
      </c>
      <c r="J270" s="110">
        <f t="shared" ref="J270" si="81">SUM(H270/G270*100)</f>
        <v>112.7493953097066</v>
      </c>
    </row>
    <row r="271" spans="1:13" ht="20.25">
      <c r="A271" s="56"/>
      <c r="B271" s="54" t="s">
        <v>16</v>
      </c>
      <c r="C271" s="49">
        <f>C266+C267</f>
        <v>3587116.677219999</v>
      </c>
      <c r="D271" s="49">
        <f>D266+D267</f>
        <v>4616852.3157299999</v>
      </c>
      <c r="E271" s="31">
        <f>SUM(D271-C271)</f>
        <v>1029735.6385100009</v>
      </c>
      <c r="F271" s="30">
        <f>SUM(D271/C271*100)</f>
        <v>128.70649970906555</v>
      </c>
      <c r="G271" s="49">
        <f>G266+G267</f>
        <v>720095.61629999999</v>
      </c>
      <c r="H271" s="49">
        <f>H266+H267</f>
        <v>2067086.03639</v>
      </c>
      <c r="I271" s="31">
        <f t="shared" si="80"/>
        <v>1346990.4200900001</v>
      </c>
      <c r="J271" s="137" t="s">
        <v>378</v>
      </c>
    </row>
    <row r="272" spans="1:13" ht="20.25">
      <c r="A272" s="56"/>
      <c r="B272" s="40" t="s">
        <v>20</v>
      </c>
      <c r="C272" s="49"/>
      <c r="D272" s="49"/>
      <c r="E272" s="12"/>
      <c r="F272" s="13"/>
      <c r="G272" s="49"/>
      <c r="H272" s="49"/>
      <c r="I272" s="31"/>
      <c r="J272" s="32"/>
      <c r="K272" s="95"/>
    </row>
    <row r="273" spans="1:12" ht="20.25">
      <c r="A273" s="57"/>
      <c r="B273" s="40" t="s">
        <v>21</v>
      </c>
      <c r="C273" s="49">
        <f>-C274</f>
        <v>2027150.0330000001</v>
      </c>
      <c r="D273" s="49">
        <f>-D274</f>
        <v>1143700.77</v>
      </c>
      <c r="E273" s="31">
        <f>SUM(D273-C273)</f>
        <v>-883449.26300000004</v>
      </c>
      <c r="F273" s="30">
        <f>SUM(D273/C273*100)</f>
        <v>56.41914763987279</v>
      </c>
      <c r="G273" s="49">
        <f t="shared" ref="G273:H273" si="82">-G274</f>
        <v>-593339.34499999997</v>
      </c>
      <c r="H273" s="49">
        <f t="shared" si="82"/>
        <v>-1703560.838</v>
      </c>
      <c r="I273" s="31">
        <f t="shared" ref="I273:I278" si="83">SUM(H273-G273)</f>
        <v>-1110221.493</v>
      </c>
      <c r="J273" s="32" t="s">
        <v>378</v>
      </c>
    </row>
    <row r="274" spans="1:12" ht="20.25">
      <c r="A274" s="58">
        <v>200000</v>
      </c>
      <c r="B274" s="40" t="s">
        <v>22</v>
      </c>
      <c r="C274" s="49">
        <f>SUM(C275:C276)</f>
        <v>-2027150.0330000001</v>
      </c>
      <c r="D274" s="49">
        <f>SUM(D275:D276)</f>
        <v>-1143700.77</v>
      </c>
      <c r="E274" s="31">
        <f>SUM(D274-C274)</f>
        <v>883449.26300000004</v>
      </c>
      <c r="F274" s="30">
        <f>SUM(D274/C274*100)</f>
        <v>56.41914763987279</v>
      </c>
      <c r="G274" s="49">
        <f>SUM(G275:G277)</f>
        <v>593339.34499999997</v>
      </c>
      <c r="H274" s="49">
        <f>SUM(H275:H277)</f>
        <v>1703560.838</v>
      </c>
      <c r="I274" s="31">
        <f t="shared" si="83"/>
        <v>1110221.493</v>
      </c>
      <c r="J274" s="32" t="s">
        <v>378</v>
      </c>
      <c r="L274" s="96"/>
    </row>
    <row r="275" spans="1:12">
      <c r="A275" s="60">
        <v>205000</v>
      </c>
      <c r="B275" s="25" t="s">
        <v>23</v>
      </c>
      <c r="C275" s="74"/>
      <c r="D275" s="74"/>
      <c r="E275" s="12"/>
      <c r="F275" s="13"/>
      <c r="G275" s="11">
        <v>-14940.753000000001</v>
      </c>
      <c r="H275" s="11">
        <v>10494.816000000001</v>
      </c>
      <c r="I275" s="12">
        <f t="shared" si="83"/>
        <v>25435.569000000003</v>
      </c>
      <c r="J275" s="14">
        <f>SUM(H275/G275*100)</f>
        <v>-70.242885348549706</v>
      </c>
    </row>
    <row r="276" spans="1:12">
      <c r="A276" s="60">
        <v>208000</v>
      </c>
      <c r="B276" s="25" t="s">
        <v>24</v>
      </c>
      <c r="C276" s="51">
        <v>-2027150.0330000001</v>
      </c>
      <c r="D276" s="51">
        <v>-1143700.77</v>
      </c>
      <c r="E276" s="12">
        <f>SUM(D276-C276)</f>
        <v>883449.26300000004</v>
      </c>
      <c r="F276" s="14">
        <f>SUM(D276/C276*100)</f>
        <v>56.41914763987279</v>
      </c>
      <c r="G276" s="51">
        <v>611464.60800000001</v>
      </c>
      <c r="H276" s="51">
        <v>1696685.916</v>
      </c>
      <c r="I276" s="12">
        <f t="shared" si="83"/>
        <v>1085221.308</v>
      </c>
      <c r="J276" s="14" t="s">
        <v>401</v>
      </c>
    </row>
    <row r="277" spans="1:12" ht="20.25">
      <c r="A277" s="61">
        <v>300000</v>
      </c>
      <c r="B277" s="41" t="s">
        <v>357</v>
      </c>
      <c r="C277" s="149"/>
      <c r="D277" s="149"/>
      <c r="E277" s="150"/>
      <c r="F277" s="151"/>
      <c r="G277" s="97">
        <v>-3184.51</v>
      </c>
      <c r="H277" s="97">
        <v>-3619.8939999999998</v>
      </c>
      <c r="I277" s="31">
        <f t="shared" si="83"/>
        <v>-435.38399999999956</v>
      </c>
      <c r="J277" s="32">
        <f>SUM(H277/G277*100)</f>
        <v>113.67193068949382</v>
      </c>
    </row>
    <row r="278" spans="1:12" ht="20.25">
      <c r="A278" s="61">
        <v>900230</v>
      </c>
      <c r="B278" s="41" t="s">
        <v>25</v>
      </c>
      <c r="C278" s="49">
        <f>-C273</f>
        <v>-2027150.0330000001</v>
      </c>
      <c r="D278" s="49">
        <f>-D273</f>
        <v>-1143700.77</v>
      </c>
      <c r="E278" s="31">
        <f>SUM(D278-C278)</f>
        <v>883449.26300000004</v>
      </c>
      <c r="F278" s="30">
        <f>SUM(D278/C278*100)</f>
        <v>56.41914763987279</v>
      </c>
      <c r="G278" s="49">
        <f>-G273</f>
        <v>593339.34499999997</v>
      </c>
      <c r="H278" s="49">
        <f>-H273</f>
        <v>1703560.838</v>
      </c>
      <c r="I278" s="31">
        <f t="shared" si="83"/>
        <v>1110221.493</v>
      </c>
      <c r="J278" s="32" t="s">
        <v>378</v>
      </c>
    </row>
    <row r="279" spans="1:12" ht="20.25">
      <c r="A279" s="169" t="s">
        <v>394</v>
      </c>
      <c r="B279" s="170"/>
      <c r="C279" s="170"/>
      <c r="D279" s="170"/>
      <c r="E279" s="170"/>
      <c r="F279" s="170"/>
      <c r="G279" s="170"/>
      <c r="H279" s="170"/>
      <c r="I279" s="170"/>
      <c r="J279" s="171"/>
    </row>
    <row r="280" spans="1:12" ht="75">
      <c r="A280" s="62" t="s">
        <v>2</v>
      </c>
      <c r="B280" s="63" t="s">
        <v>27</v>
      </c>
      <c r="C280" s="64" t="s">
        <v>494</v>
      </c>
      <c r="D280" s="64" t="s">
        <v>495</v>
      </c>
      <c r="E280" s="64" t="s">
        <v>30</v>
      </c>
      <c r="F280" s="65" t="s">
        <v>31</v>
      </c>
      <c r="G280" s="64" t="s">
        <v>494</v>
      </c>
      <c r="H280" s="64" t="s">
        <v>495</v>
      </c>
      <c r="I280" s="64" t="s">
        <v>30</v>
      </c>
      <c r="J280" s="65" t="s">
        <v>31</v>
      </c>
    </row>
    <row r="281" spans="1:12" ht="20.25">
      <c r="A281" s="61">
        <v>400000</v>
      </c>
      <c r="B281" s="41" t="s">
        <v>26</v>
      </c>
      <c r="C281" s="79">
        <v>81646.316999999995</v>
      </c>
      <c r="D281" s="79">
        <v>81646.316999999995</v>
      </c>
      <c r="E281" s="31">
        <f>SUM(D281-C281)</f>
        <v>0</v>
      </c>
      <c r="F281" s="66">
        <f>SUM(D281/C281*100)</f>
        <v>100</v>
      </c>
      <c r="G281" s="97"/>
      <c r="H281" s="97"/>
      <c r="I281" s="12"/>
      <c r="J281" s="66"/>
    </row>
    <row r="282" spans="1:12" ht="37.5">
      <c r="A282" s="60">
        <v>420000</v>
      </c>
      <c r="B282" s="28" t="s">
        <v>28</v>
      </c>
      <c r="C282" s="82">
        <v>81646.316999999995</v>
      </c>
      <c r="D282" s="82">
        <v>81646.316999999995</v>
      </c>
      <c r="E282" s="12">
        <f>SUM(D282-C282)</f>
        <v>0</v>
      </c>
      <c r="F282" s="66">
        <f>SUM(D282/C282*100)</f>
        <v>100</v>
      </c>
      <c r="G282" s="51"/>
      <c r="H282" s="51"/>
      <c r="I282" s="12"/>
      <c r="J282" s="66"/>
    </row>
    <row r="283" spans="1:12" ht="20.25">
      <c r="A283" s="61">
        <v>500000</v>
      </c>
      <c r="B283" s="41" t="s">
        <v>352</v>
      </c>
      <c r="C283" s="79">
        <f>SUM(C284)</f>
        <v>14117.495999999999</v>
      </c>
      <c r="D283" s="79">
        <f>SUM(D284)</f>
        <v>14117.495999999999</v>
      </c>
      <c r="E283" s="31">
        <f>SUM(D283-C283)</f>
        <v>0</v>
      </c>
      <c r="F283" s="66">
        <f>SUM(D283/C283*100)</f>
        <v>100</v>
      </c>
      <c r="G283" s="97"/>
      <c r="H283" s="97"/>
      <c r="I283" s="12"/>
      <c r="J283" s="66"/>
    </row>
    <row r="284" spans="1:12">
      <c r="A284" s="67">
        <v>510000</v>
      </c>
      <c r="B284" s="27" t="s">
        <v>353</v>
      </c>
      <c r="C284" s="82">
        <v>14117.495999999999</v>
      </c>
      <c r="D284" s="82">
        <v>14117.495999999999</v>
      </c>
      <c r="E284" s="12">
        <f>SUM(D284-C284)</f>
        <v>0</v>
      </c>
      <c r="F284" s="66">
        <f>SUM(D284/C284*100)</f>
        <v>100</v>
      </c>
      <c r="G284" s="51"/>
      <c r="H284" s="51"/>
      <c r="I284" s="12"/>
      <c r="J284" s="66"/>
    </row>
    <row r="285" spans="1:12" ht="20.25">
      <c r="A285" s="68"/>
      <c r="B285" s="41" t="s">
        <v>351</v>
      </c>
      <c r="C285" s="98">
        <f>SUM(C281)+C283</f>
        <v>95763.812999999995</v>
      </c>
      <c r="D285" s="98">
        <f>SUM(D281)+D283</f>
        <v>95763.812999999995</v>
      </c>
      <c r="E285" s="31">
        <f>SUM(D285-C285)</f>
        <v>0</v>
      </c>
      <c r="F285" s="66">
        <f>SUM(D285/C285*100)</f>
        <v>100</v>
      </c>
      <c r="G285" s="74"/>
      <c r="H285" s="74"/>
      <c r="I285" s="74"/>
      <c r="J285" s="99"/>
    </row>
  </sheetData>
  <customSheetViews>
    <customSheetView guid="{84AB9039-6109-4932-AA14-522BD4A30F0B}" scale="75" showPageBreaks="1" fitToPage="1">
      <pane xSplit="2" ySplit="9" topLeftCell="C243" activePane="bottomRight" state="frozen"/>
      <selection pane="bottomRight" sqref="A1:J1"/>
      <pageMargins left="0.19685039370078741" right="0.23622047244094491" top="0.19685039370078741" bottom="0.19685039370078741" header="0.15748031496062992" footer="0.15748031496062992"/>
      <pageSetup paperSize="9" scale="30" fitToHeight="12" orientation="landscape" horizontalDpi="120" verticalDpi="144" r:id="rId1"/>
      <headerFooter alignWithMargins="0"/>
    </customSheetView>
    <customSheetView guid="{68CBFC64-03A4-4F74-B34E-EE1DB915A668}" scale="85" showPageBreaks="1" fitToPage="1">
      <pane xSplit="2" ySplit="9" topLeftCell="C119" activePane="bottomRight" state="frozen"/>
      <selection pane="bottomRight" activeCell="K120" sqref="K120:K122"/>
      <pageMargins left="0.19685039370078741" right="0.23622047244094491" top="0.19685039370078741" bottom="0.19685039370078741" header="0.15748031496062992" footer="0.15748031496062992"/>
      <pageSetup paperSize="9" scale="28" fitToHeight="12" orientation="landscape" horizontalDpi="120" verticalDpi="144" r:id="rId2"/>
      <headerFooter alignWithMargins="0"/>
    </customSheetView>
    <customSheetView guid="{D0621073-25BE-47D7-AC33-51146458D41C}" scale="85" showPageBreaks="1" fitToPage="1">
      <pane xSplit="2" ySplit="9" topLeftCell="C197" activePane="bottomRight" state="frozen"/>
      <selection pane="bottomRight" activeCell="B184" sqref="B184"/>
      <pageMargins left="0.19685039370078741" right="0.23622047244094491" top="0.19685039370078741" bottom="0.19685039370078741" header="0.15748031496062992" footer="0.15748031496062992"/>
      <pageSetup paperSize="9" scale="28" fitToHeight="12" orientation="landscape" horizontalDpi="120" verticalDpi="144" r:id="rId3"/>
      <headerFooter alignWithMargins="0"/>
    </customSheetView>
    <customSheetView guid="{221AFC77-C97B-4D44-8163-7AA758A08BF9}" scale="71" showPageBreaks="1" fitToPage="1" printArea="1" showRuler="0">
      <pane ySplit="6" topLeftCell="A7" activePane="bottomLeft" state="frozen"/>
      <selection pane="bottomLeft" activeCell="J5" sqref="J5"/>
      <pageMargins left="0.19685039370078741" right="0.23622047244094491" top="0.19685039370078741" bottom="0.19685039370078741" header="0.15748031496062992" footer="0.15748031496062992"/>
      <pageSetup paperSize="9" scale="49" fitToHeight="12" orientation="landscape" verticalDpi="144" r:id="rId4"/>
      <headerFooter alignWithMargins="0"/>
    </customSheetView>
    <customSheetView guid="{713A662A-DFDD-43FB-A56E-1E210432D89D}" scale="85" fitToPage="1">
      <pane xSplit="2" ySplit="9" topLeftCell="C104" activePane="bottomRight" state="frozen"/>
      <selection pane="bottomRight" activeCell="C117" sqref="C117:C118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5"/>
      <headerFooter alignWithMargins="0"/>
    </customSheetView>
    <customSheetView guid="{675C859F-867B-4E3E-8283-3B2C94BFA5E5}" scale="80" showPageBreaks="1" fitToPage="1">
      <pane xSplit="2" ySplit="9" topLeftCell="C184" activePane="bottomRight" state="frozen"/>
      <selection pane="bottomRight" activeCell="H194" sqref="H194"/>
      <pageMargins left="0.19685039370078741" right="0.23622047244094491" top="0.19685039370078741" bottom="0.19685039370078741" header="0.15748031496062992" footer="0.15748031496062992"/>
      <pageSetup paperSize="9" scale="32" fitToHeight="12" orientation="landscape" horizontalDpi="120" verticalDpi="144" r:id="rId6"/>
      <headerFooter alignWithMargins="0"/>
    </customSheetView>
    <customSheetView guid="{F9324F9E-6E0D-484A-B1A6-F87CCAA93894}" scale="90" fitToPage="1">
      <pane xSplit="2" ySplit="9" topLeftCell="C121" activePane="bottomRight" state="frozen"/>
      <selection pane="bottomRight" activeCell="G323" sqref="G32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7"/>
      <headerFooter alignWithMargins="0"/>
    </customSheetView>
    <customSheetView guid="{966D3932-E429-4C59-AC55-697D9EEA620A}" scale="90" showPageBreaks="1" fitToPage="1" printArea="1" showAutoFilter="1" view="pageBreakPreview">
      <pane xSplit="2" ySplit="7" topLeftCell="C8" activePane="bottomRight" state="frozen"/>
      <selection pane="bottomRight" activeCell="C308" sqref="C308:H309"/>
      <pageMargins left="0.19685039370078741" right="0.23622047244094491" top="0.19685039370078741" bottom="0.19685039370078741" header="0.15748031496062992" footer="0.15748031496062992"/>
      <pageSetup paperSize="9" scale="43" fitToHeight="12" orientation="landscape" verticalDpi="144" r:id="rId8"/>
      <headerFooter alignWithMargins="0"/>
      <autoFilter ref="A6:L365"/>
    </customSheetView>
    <customSheetView guid="{EF32CA8F-131B-41F0-AA31-167807ADE2D4}" scale="85" fitToPage="1">
      <pane xSplit="2" ySplit="9" topLeftCell="C135" activePane="bottomRight" state="frozen"/>
      <selection pane="bottomRight" activeCell="H149" sqref="H149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9"/>
      <headerFooter alignWithMargins="0"/>
    </customSheetView>
    <customSheetView guid="{2C18B72E-FABC-405E-9989-871873679CB9}" scale="85" fitToPage="1">
      <pane xSplit="2" ySplit="9" topLeftCell="C165" activePane="bottomRight" state="frozen"/>
      <selection pane="bottomRight" activeCell="A163" sqref="A163:J171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10"/>
      <headerFooter alignWithMargins="0"/>
    </customSheetView>
    <customSheetView guid="{8112C56A-816E-41B5-AC5C-5C34336EE27C}" scale="85" fitToPage="1">
      <pane xSplit="2" ySplit="9" topLeftCell="F215" activePane="bottomRight" state="frozen"/>
      <selection pane="bottomRight" activeCell="H220" sqref="H220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11"/>
      <headerFooter alignWithMargins="0"/>
    </customSheetView>
    <customSheetView guid="{B0CF427B-E64B-46A6-97A4-9B49090FE4BE}" scale="85" fitToPage="1">
      <pane xSplit="2" ySplit="9" topLeftCell="C130" activePane="bottomRight" state="frozen"/>
      <selection pane="bottomRight" activeCell="A133" sqref="A133:IV133"/>
      <pageMargins left="0.19685039370078741" right="0.23622047244094491" top="0.19685039370078741" bottom="0.19685039370078741" header="0.15748031496062992" footer="0.15748031496062992"/>
      <pageSetup paperSize="9" scale="29" fitToHeight="12" orientation="landscape" horizontalDpi="120" verticalDpi="144" r:id="rId12"/>
      <headerFooter alignWithMargins="0"/>
    </customSheetView>
    <customSheetView guid="{72EDDA2C-BFF2-4D48-A13B-2B9C46213374}" scale="75" fitToPage="1">
      <pane xSplit="2" ySplit="9" topLeftCell="D242" activePane="bottomRight" state="frozen"/>
      <selection pane="bottomRight" activeCell="H241" sqref="H241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13"/>
      <headerFooter alignWithMargins="0"/>
    </customSheetView>
    <customSheetView guid="{839A87F2-F73A-45C5-ADB8-392A99CC1EFF}" scale="85" fitToPage="1">
      <pane xSplit="2" ySplit="4" topLeftCell="C286" activePane="bottomRight" state="frozen"/>
      <selection pane="bottomRight" activeCell="L291" sqref="L291"/>
      <pageMargins left="0.19685039370078741" right="0.23622047244094491" top="0.19685039370078741" bottom="0.19685039370078741" header="0.15748031496062992" footer="0.15748031496062992"/>
      <pageSetup paperSize="9" scale="48" fitToHeight="12" orientation="landscape" horizontalDpi="120" verticalDpi="144" r:id="rId14"/>
      <headerFooter alignWithMargins="0"/>
    </customSheetView>
    <customSheetView guid="{5EEB5DC5-097B-47D6-81BA-F19E1000B57E}" scale="75" fitToPage="1" printArea="1" showRuler="0">
      <pane xSplit="2" ySplit="9" topLeftCell="C131" activePane="bottomRight" state="frozen"/>
      <selection pane="bottomRight" activeCell="G189" sqref="G189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15"/>
      <headerFooter alignWithMargins="0"/>
    </customSheetView>
    <customSheetView guid="{795D5ECF-BF90-4F3E-A74E-B1A55C8421F2}" scale="75" fitToPage="1">
      <pane xSplit="2" ySplit="9" topLeftCell="C65" activePane="bottomRight" state="frozen"/>
      <selection pane="bottomRight" activeCell="B83" sqref="B8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16"/>
      <headerFooter alignWithMargins="0"/>
    </customSheetView>
    <customSheetView guid="{E147D13D-D04D-431E-888C-5A9AE670FC44}" scale="75" showPageBreaks="1" view="pageBreakPreview" showRuler="0" topLeftCell="A7">
      <pane xSplit="2" ySplit="10" topLeftCell="C140" activePane="bottomRight" state="frozen"/>
      <selection pane="bottomRight" activeCell="A145" sqref="A145"/>
      <pageMargins left="0.19685039370078741" right="0.23622047244094491" top="0.19685039370078741" bottom="0.19685039370078741" header="0.15748031496062992" footer="0.15748031496062992"/>
      <pageSetup paperSize="9" scale="59" orientation="landscape" horizontalDpi="120" verticalDpi="144" r:id="rId17"/>
      <headerFooter alignWithMargins="0"/>
    </customSheetView>
    <customSheetView guid="{3B5575E9-696E-4E1F-8BBE-8483CF318052}" scale="75" fitToPage="1" printArea="1" showRuler="0">
      <pane xSplit="2" ySplit="9" topLeftCell="G49" activePane="bottomRight" state="frozen"/>
      <selection pane="bottomRight" activeCell="G52" sqref="G52"/>
      <pageMargins left="0.19685039370078741" right="0.23622047244094491" top="0.19685039370078741" bottom="0.19685039370078741" header="0.15748031496062992" footer="0.15748031496062992"/>
      <pageSetup paperSize="9" scale="58" fitToHeight="12" orientation="landscape" horizontalDpi="120" verticalDpi="144" r:id="rId18"/>
      <headerFooter alignWithMargins="0"/>
    </customSheetView>
    <customSheetView guid="{452C56A1-7A56-4ADE-A5CF-E260228787E3}" scale="75" showPageBreaks="1" fitToPage="1" printArea="1" view="pageBreakPreview" showRuler="0" topLeftCell="A6">
      <pane xSplit="2" ySplit="4" topLeftCell="J189" activePane="bottomRight" state="frozen"/>
      <selection pane="bottomRight" activeCell="A197" sqref="A197:J197"/>
      <pageMargins left="0.19685039370078741" right="0.23622047244094491" top="0.19685039370078741" bottom="0.19685039370078741" header="0.15748031496062992" footer="0.15748031496062992"/>
      <pageSetup paperSize="9" scale="53" fitToHeight="12" orientation="landscape" horizontalDpi="120" verticalDpi="144" r:id="rId19"/>
      <headerFooter alignWithMargins="0"/>
    </customSheetView>
    <customSheetView guid="{7EDDA008-F905-436E-A980-951BDACDA577}" scale="80" fitToPage="1">
      <pane xSplit="2" ySplit="9" topLeftCell="C10" activePane="bottomRight" state="frozen"/>
      <selection pane="bottomRight" activeCell="I19" sqref="I19"/>
      <pageMargins left="0.19685039370078741" right="0.23622047244094491" top="0.19685039370078741" bottom="0.19685039370078741" header="0.15748031496062992" footer="0.15748031496062992"/>
      <pageSetup paperSize="9" scale="50" fitToHeight="12" orientation="landscape" horizontalDpi="120" verticalDpi="144" r:id="rId20"/>
      <headerFooter alignWithMargins="0"/>
    </customSheetView>
    <customSheetView guid="{2A0A5548-2EEF-4469-A03C-FA481083CE33}" scale="60" showPageBreaks="1" fitToPage="1" showRuler="0">
      <pane xSplit="2" ySplit="9" topLeftCell="C84" activePane="bottomRight" state="frozen"/>
      <selection pane="bottomRight" activeCell="D85" sqref="D85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1"/>
      <headerFooter alignWithMargins="0"/>
    </customSheetView>
    <customSheetView guid="{CC0A6F72-A956-4FF0-A9CF-B2F133844683}" scale="75" fitToPage="1" topLeftCell="A4">
      <pane xSplit="2" ySplit="1" topLeftCell="D247" activePane="bottomRight" state="frozen"/>
      <selection pane="bottomRight" activeCell="D263" sqref="D26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2"/>
      <headerFooter alignWithMargins="0"/>
    </customSheetView>
    <customSheetView guid="{B5FF27E5-4C0E-4323-88CE-5D44F441DDEF}" scale="60" fitToPage="1">
      <pane xSplit="2" ySplit="9" topLeftCell="D65" activePane="bottomRight" state="frozen"/>
      <selection pane="bottomRight" activeCell="F101" sqref="F101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3"/>
      <headerFooter alignWithMargins="0"/>
    </customSheetView>
    <customSheetView guid="{33313D92-ACCC-472C-8066-C92558BED64F}" scale="65" showPageBreaks="1" fitToPage="1">
      <pane xSplit="2" ySplit="9" topLeftCell="C220" activePane="bottomRight" state="frozen"/>
      <selection pane="bottomRight" activeCell="C124" sqref="C124:F124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4"/>
      <headerFooter alignWithMargins="0"/>
    </customSheetView>
    <customSheetView guid="{F9D2B861-A6DF-4E58-9205-20667B07345D}" scale="85" fitToPage="1">
      <pane xSplit="2" ySplit="9" topLeftCell="C10" activePane="bottomRight" state="frozen"/>
      <selection pane="bottomRight" activeCell="A174" sqref="A174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5"/>
      <headerFooter alignWithMargins="0"/>
    </customSheetView>
    <customSheetView guid="{0EDC1FFF-2611-4DAC-98A8-22EC25025967}" scale="75" showPageBreaks="1" fitToPage="1">
      <pane xSplit="2" ySplit="9" topLeftCell="C240" activePane="bottomRight" state="frozen"/>
      <selection pane="bottomRight" activeCell="I240" sqref="I240:J250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6"/>
      <headerFooter alignWithMargins="0"/>
    </customSheetView>
    <customSheetView guid="{998E5F34-5F22-456C-AF6B-44B849DA5E75}" scale="70">
      <pane xSplit="2" ySplit="5" topLeftCell="F6" activePane="bottomRight" state="frozen"/>
      <selection pane="bottomRight" sqref="A1:J1"/>
      <pageMargins left="0.47244094488188981" right="0.23622047244094491" top="0.19685039370078741" bottom="0.19685039370078741" header="0.15748031496062992" footer="0.15748031496062992"/>
      <pageSetup paperSize="9" scale="48" fitToHeight="12" orientation="landscape" verticalDpi="144" r:id="rId27"/>
      <headerFooter alignWithMargins="0"/>
    </customSheetView>
    <customSheetView guid="{471079C8-6E8B-4088-8968-A7D0C5B8653D}" scale="85" fitToPage="1">
      <pane xSplit="2" ySplit="9" topLeftCell="C174" activePane="bottomRight" state="frozen"/>
      <selection pane="bottomRight" activeCell="C182" sqref="C182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28"/>
      <headerFooter alignWithMargins="0"/>
    </customSheetView>
    <customSheetView guid="{A600D8D5-C13F-49F2-9D2C-FC8EA32AC551}" scale="90" showPageBreaks="1" view="pageBreakPreview">
      <pane xSplit="2" ySplit="7" topLeftCell="C263" activePane="bottomRight" state="frozen"/>
      <selection pane="bottomRight" activeCell="D264" sqref="D264"/>
      <pageMargins left="0.47244094488188981" right="0.23622047244094491" top="0.19685039370078741" bottom="0.19685039370078741" header="0.15748031496062992" footer="0.15748031496062992"/>
      <pageSetup paperSize="9" scale="47" fitToHeight="12" orientation="landscape" verticalDpi="144" r:id="rId29"/>
      <headerFooter differentFirst="1" alignWithMargins="0">
        <oddFooter>&amp;R&amp;P</oddFooter>
      </headerFooter>
    </customSheetView>
    <customSheetView guid="{868786DC-4C96-45F5-A272-3E03D4B934A0}" scale="58" showPageBreaks="1" fitToPage="1">
      <pane xSplit="2" ySplit="9" topLeftCell="C256" activePane="bottomRight" state="frozen"/>
      <selection pane="bottomRight" activeCell="G282" sqref="G282"/>
      <pageMargins left="0.19685039370078741" right="0.23622047244094491" top="0.19685039370078741" bottom="0.19685039370078741" header="0.15748031496062992" footer="0.15748031496062992"/>
      <pageSetup paperSize="9" scale="42" fitToHeight="12" orientation="landscape" horizontalDpi="120" verticalDpi="144" r:id="rId30"/>
      <headerFooter alignWithMargins="0"/>
    </customSheetView>
    <customSheetView guid="{8FB1E024-9866-4CAD-B900-0CCFEA27B234}" scale="75" showPageBreaks="1" fitToPage="1" printArea="1" showRuler="0">
      <pane xSplit="2" ySplit="9" topLeftCell="C120" activePane="bottomRight" state="frozen"/>
      <selection pane="bottomRight" activeCell="H134" sqref="H134"/>
      <pageMargins left="0.19685039370078741" right="0.23622047244094491" top="0.19685039370078741" bottom="0.19685039370078741" header="0.15748031496062992" footer="0.15748031496062992"/>
      <pageSetup paperSize="9" scale="43" fitToHeight="12" orientation="landscape" verticalDpi="144" r:id="rId31"/>
      <headerFooter alignWithMargins="0"/>
    </customSheetView>
    <customSheetView guid="{0CBA335B-0DD8-471B-913E-91954D8A7DE8}" scale="85" fitToPage="1" hiddenRows="1">
      <pane xSplit="2" ySplit="9" topLeftCell="G115" activePane="bottomRight" state="frozen"/>
      <selection pane="bottomRight" activeCell="I118" sqref="I118"/>
      <pageMargins left="0.19685039370078741" right="0.23622047244094491" top="0.19685039370078741" bottom="0.19685039370078741" header="0.15748031496062992" footer="0.15748031496062992"/>
      <pageSetup paperSize="9" scale="43" fitToHeight="12" orientation="landscape" horizontalDpi="120" verticalDpi="144" r:id="rId32"/>
      <headerFooter alignWithMargins="0"/>
    </customSheetView>
    <customSheetView guid="{1BDFBE17-25BB-4BB9-B67F-4757B39B2D64}" scale="70" showPageBreaks="1" fitToPage="1">
      <pane xSplit="2" ySplit="9" topLeftCell="C73" activePane="bottomRight" state="frozen"/>
      <selection pane="bottomRight" activeCell="C82" sqref="C82"/>
      <pageMargins left="0.19685039370078741" right="0.23622047244094491" top="0.19685039370078741" bottom="0.19685039370078741" header="0.15748031496062992" footer="0.15748031496062992"/>
      <pageSetup paperSize="9" scale="30" fitToHeight="12" orientation="landscape" verticalDpi="144" r:id="rId33"/>
      <headerFooter alignWithMargins="0"/>
    </customSheetView>
    <customSheetView guid="{BE1C4A44-01B5-4ECE-8D55-C71095D37032}" scale="80" showPageBreaks="1" fitToPage="1">
      <pane xSplit="2" ySplit="9" topLeftCell="C118" activePane="bottomRight" state="frozen"/>
      <selection pane="bottomRight" activeCell="C120" sqref="C120"/>
      <pageMargins left="0.19685039370078741" right="0.23622047244094491" top="0.19685039370078741" bottom="0.19685039370078741" header="0.15748031496062992" footer="0.15748031496062992"/>
      <pageSetup paperSize="9" scale="29" fitToHeight="12" orientation="landscape" horizontalDpi="120" verticalDpi="144" r:id="rId34"/>
      <headerFooter alignWithMargins="0"/>
    </customSheetView>
    <customSheetView guid="{3824CD03-2F75-4531-8348-997F8B6518CE}" scale="85" fitToPage="1">
      <pane xSplit="2" ySplit="9" topLeftCell="C275" activePane="bottomRight" state="frozen"/>
      <selection pane="bottomRight" activeCell="A213" sqref="A213:XFD225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35"/>
      <headerFooter alignWithMargins="0"/>
    </customSheetView>
    <customSheetView guid="{CFB0A04F-563D-4D2B-BCD3-ACFCDC70E584}" scale="85" showPageBreaks="1" fitToPage="1" hiddenRows="1">
      <pane xSplit="2" ySplit="8" topLeftCell="C10" activePane="bottomRight" state="frozen"/>
      <selection pane="bottomRight" activeCell="G127" sqref="G127"/>
      <pageMargins left="0.19685039370078741" right="0.23622047244094491" top="0.19685039370078741" bottom="0.19685039370078741" header="0.15748031496062992" footer="0.15748031496062992"/>
      <pageSetup paperSize="9" scale="34" fitToHeight="12" orientation="landscape" horizontalDpi="120" verticalDpi="144" r:id="rId36"/>
      <headerFooter alignWithMargins="0"/>
    </customSheetView>
    <customSheetView guid="{BC4BF63E-98F8-4CE0-B0DE-A2A71C291EFE}" scale="85" showPageBreaks="1">
      <pane xSplit="2" ySplit="9" topLeftCell="C146" activePane="bottomRight" state="frozen"/>
      <selection pane="bottomRight" activeCell="G3" sqref="G3:J3"/>
      <pageMargins left="0.19685039370078741" right="0.23622047244094491" top="0.19685039370078741" bottom="0.19685039370078741" header="0.15748031496062992" footer="0.15748031496062992"/>
      <pageSetup paperSize="9" scale="45" fitToHeight="12" orientation="landscape" horizontalDpi="120" verticalDpi="144" r:id="rId37"/>
      <headerFooter alignWithMargins="0"/>
    </customSheetView>
    <customSheetView guid="{9BFA17BE-4413-48EA-8DFA-9D7972E1D966}" scale="85" showPageBreaks="1">
      <pane xSplit="2" ySplit="9" topLeftCell="C274" activePane="bottomRight" state="frozen"/>
      <selection pane="bottomRight" activeCell="D281" sqref="D281"/>
      <pageMargins left="0.19685039370078741" right="0.23622047244094491" top="0.19685039370078741" bottom="0.19685039370078741" header="0.15748031496062992" footer="0.15748031496062992"/>
      <pageSetup paperSize="9" scale="55" fitToHeight="12" orientation="landscape" horizontalDpi="120" verticalDpi="144" r:id="rId38"/>
      <headerFooter alignWithMargins="0"/>
    </customSheetView>
    <customSheetView guid="{FA039D92-C83F-438E-BA9D-917452CA1B7F}" scale="85" showPageBreaks="1" fitToPage="1">
      <pane xSplit="2" ySplit="9" topLeftCell="C240" activePane="bottomRight"/>
      <selection pane="bottomRight" activeCell="E242" sqref="E242"/>
      <pageMargins left="0.19685039370078741" right="0.23622047244094491" top="0.19685039370078741" bottom="0.19685039370078741" header="0.15748031496062992" footer="0.15748031496062992"/>
      <pageSetup paperSize="9" scale="28" fitToHeight="12" orientation="landscape" horizontalDpi="120" verticalDpi="144" r:id="rId39"/>
      <headerFooter alignWithMargins="0"/>
    </customSheetView>
    <customSheetView guid="{06B33669-D909-4CD8-806F-33C009B9DF0A}" scale="75" showPageBreaks="1" fitToPage="1">
      <pane xSplit="2" ySplit="9" topLeftCell="C227" activePane="bottomRight" state="frozen"/>
      <selection pane="bottomRight" activeCell="J233" sqref="J233"/>
      <pageMargins left="0.19685039370078741" right="0.23622047244094491" top="0.19685039370078741" bottom="0.19685039370078741" header="0.15748031496062992" footer="0.15748031496062992"/>
      <pageSetup paperSize="9" scale="31" fitToHeight="12" orientation="portrait" horizontalDpi="120" verticalDpi="144" r:id="rId40"/>
      <headerFooter alignWithMargins="0"/>
    </customSheetView>
    <customSheetView guid="{8DA01475-C6A0-4A19-B7EB-B1C704431492}" scale="70" showPageBreaks="1" fitToPage="1">
      <pane xSplit="2" ySplit="9" topLeftCell="C91" activePane="bottomRight" state="frozen"/>
      <selection pane="bottomRight" activeCell="A298" sqref="A298:J298"/>
      <pageMargins left="0.19685039370078741" right="0.23622047244094491" top="0.19685039370078741" bottom="0.19685039370078741" header="0.15748031496062992" footer="0.15748031496062992"/>
      <pageSetup paperSize="9" scale="28" fitToHeight="12" orientation="landscape" horizontalDpi="120" verticalDpi="144" r:id="rId41"/>
      <headerFooter alignWithMargins="0"/>
    </customSheetView>
    <customSheetView guid="{95A7493F-2B11-406A-BB91-458FD9DC3BAE}" scale="75" showPageBreaks="1" fitToPage="1" printArea="1" showRuler="0">
      <pane xSplit="2" ySplit="9" topLeftCell="C103" activePane="bottomRight" state="frozen"/>
      <selection pane="bottomRight" activeCell="G104" sqref="G104"/>
      <pageMargins left="0.19685039370078741" right="0.19685039370078741" top="0.19685039370078741" bottom="0.19685039370078741" header="0.15748031496062992" footer="0.15748031496062992"/>
      <pageSetup paperSize="9" scale="49" fitToHeight="14" orientation="landscape" verticalDpi="144" r:id="rId42"/>
      <headerFooter alignWithMargins="0"/>
    </customSheetView>
    <customSheetView guid="{90518B97-7307-4173-A97E-975285B914B1}" scale="75" showPageBreaks="1" topLeftCell="A82">
      <selection activeCell="B10" sqref="B10"/>
      <pageMargins left="0.39370078740157483" right="0.39370078740157483" top="0.78740157480314965" bottom="0.39370078740157483" header="0.15748031496062992" footer="0.15748031496062992"/>
      <printOptions horizontalCentered="1"/>
      <pageSetup paperSize="9" scale="48" fitToHeight="12" orientation="landscape" verticalDpi="144" r:id="rId43"/>
      <headerFooter differentFirst="1" alignWithMargins="0">
        <oddFooter>&amp;R&amp;P</oddFooter>
      </headerFooter>
    </customSheetView>
    <customSheetView guid="{CFD58EC5-F475-4F0C-8822-861C497EA100}" scale="75" showPageBreaks="1" printArea="1">
      <pane ySplit="7" topLeftCell="A126" activePane="bottomLeft" state="frozen"/>
      <selection pane="bottomLeft" activeCell="C143" sqref="C143:F143"/>
      <pageMargins left="0.43307086614173229" right="0.23622047244094491" top="0.35433070866141736" bottom="0.74803149606299213" header="0.31496062992125984" footer="0.31496062992125984"/>
      <pageSetup paperSize="9" scale="47" fitToHeight="11" orientation="landscape" verticalDpi="144" r:id="rId44"/>
      <headerFooter scaleWithDoc="0" alignWithMargins="0"/>
    </customSheetView>
  </customSheetViews>
  <mergeCells count="9">
    <mergeCell ref="H2:I2"/>
    <mergeCell ref="A4:J4"/>
    <mergeCell ref="A279:J279"/>
    <mergeCell ref="A105:J105"/>
    <mergeCell ref="A9:J9"/>
    <mergeCell ref="G6:J6"/>
    <mergeCell ref="C6:F6"/>
    <mergeCell ref="B6:B7"/>
    <mergeCell ref="A6:A7"/>
  </mergeCells>
  <phoneticPr fontId="1" type="noConversion"/>
  <printOptions horizontalCentered="1"/>
  <pageMargins left="0.39370078740157483" right="0.39370078740157483" top="0.78740157480314965" bottom="0.39370078740157483" header="0.15748031496062992" footer="0.15748031496062992"/>
  <pageSetup paperSize="9" scale="48" fitToHeight="12" orientation="landscape" verticalDpi="144" r:id="rId45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общее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User416a</cp:lastModifiedBy>
  <cp:lastPrinted>2024-02-07T12:08:32Z</cp:lastPrinted>
  <dcterms:created xsi:type="dcterms:W3CDTF">2001-02-08T10:51:36Z</dcterms:created>
  <dcterms:modified xsi:type="dcterms:W3CDTF">2024-02-08T12:44:51Z</dcterms:modified>
</cp:coreProperties>
</file>