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60" windowWidth="20730" windowHeight="9510"/>
  </bookViews>
  <sheets>
    <sheet name="Будівництво Капітальн ремонти" sheetId="2" r:id="rId1"/>
  </sheets>
  <definedNames>
    <definedName name="_xlnm._FilterDatabase" localSheetId="0" hidden="1">'Будівництво Капітальн ремонти'!$A$2:$G$1088</definedName>
    <definedName name="Z_0807BC37_3C63_4F33_8764_08C0EDADAA6D_.wvu.FilterData" localSheetId="0" hidden="1">'Будівництво Капітальн ремонти'!$A$2:$G$1088</definedName>
    <definedName name="Z_0807BC37_3C63_4F33_8764_08C0EDADAA6D_.wvu.PrintTitles" localSheetId="0" hidden="1">'Будівництво Капітальн ремонти'!$2:$3</definedName>
    <definedName name="Z_237E48EE_855D_4E22_A215_D7BA155C0632_.wvu.FilterData" localSheetId="0" hidden="1">'Будівництво Капітальн ремонти'!$A$2:$G$1088</definedName>
    <definedName name="Z_237E48EE_855D_4E22_A215_D7BA155C0632_.wvu.PrintTitles" localSheetId="0" hidden="1">'Будівництво Капітальн ремонти'!$2:$3</definedName>
    <definedName name="Z_5353A7D7_40DB_4C7C_B73E_9BD41A6C5998_.wvu.FilterData" localSheetId="0" hidden="1">'Будівництво Капітальн ремонти'!$A$2:$G$1088</definedName>
    <definedName name="Z_6273E391_AE6B_4E35_9C9C_E59C238C2634_.wvu.FilterData" localSheetId="0" hidden="1">'Будівництво Капітальн ремонти'!$A$2:$G$1088</definedName>
    <definedName name="Z_6273E391_AE6B_4E35_9C9C_E59C238C2634_.wvu.PrintTitles" localSheetId="0" hidden="1">'Будівництво Капітальн ремонти'!$2:$3</definedName>
    <definedName name="Z_63624039_79B7_4B53_8C9B_62AEAD1FE854_.wvu.FilterData" localSheetId="0" hidden="1">'Будівництво Капітальн ремонти'!$A$2:$G$1088</definedName>
    <definedName name="Z_63624039_79B7_4B53_8C9B_62AEAD1FE854_.wvu.PrintTitles" localSheetId="0" hidden="1">'Будівництво Капітальн ремонти'!$2:$3</definedName>
    <definedName name="Z_6C4C0A1E_9F55_46A5_9256_CBEA636F78CA_.wvu.FilterData" localSheetId="0" hidden="1">'Будівництво Капітальн ремонти'!$A$2:$G$1088</definedName>
    <definedName name="Z_6C4C0A1E_9F55_46A5_9256_CBEA636F78CA_.wvu.PrintTitles" localSheetId="0" hidden="1">'Будівництво Капітальн ремонти'!$2:$3</definedName>
    <definedName name="Z_C08C5C12_FFBC_4F4C_9138_5D34ADCEB223_.wvu.FilterData" localSheetId="0" hidden="1">'Будівництво Капітальн ремонти'!$A$2:$G$1088</definedName>
    <definedName name="Z_C08C5C12_FFBC_4F4C_9138_5D34ADCEB223_.wvu.PrintTitles" localSheetId="0" hidden="1">'Будівництво Капітальн ремонти'!$2:$3</definedName>
    <definedName name="Z_C431141F_117F_49C7_B3E7_D4961D1E781E_.wvu.FilterData" localSheetId="0" hidden="1">'Будівництво Капітальн ремонти'!$A$2:$G$1088</definedName>
    <definedName name="Z_C431141F_117F_49C7_B3E7_D4961D1E781E_.wvu.PrintTitles" localSheetId="0" hidden="1">'Будівництво Капітальн ремонти'!$2:$3</definedName>
    <definedName name="Z_EED4C4C4_2768_4906_8D20_11DE2EB8B1AD_.wvu.FilterData" localSheetId="0" hidden="1">'Будівництво Капітальн ремонти'!$A$2:$G$1088</definedName>
    <definedName name="Z_EED4C4C4_2768_4906_8D20_11DE2EB8B1AD_.wvu.PrintTitles" localSheetId="0" hidden="1">'Будівництво Капітальн ремонти'!$2:$3</definedName>
    <definedName name="_xlnm.Print_Titles" localSheetId="0">'Будівництво Капітальн ремонти'!$2:$3</definedName>
  </definedNames>
  <calcPr calcId="124519"/>
  <customWorkbookViews>
    <customWorkbookView name="User416b - Личное представление" guid="{6273E391-AE6B-4E35-9C9C-E59C238C2634}" mergeInterval="0" personalView="1" maximized="1" xWindow="1" yWindow="1" windowWidth="1920" windowHeight="850" activeSheetId="4"/>
    <customWorkbookView name="Танечка - Личное представление" guid="{0807BC37-3C63-4F33-8764-08C0EDADAA6D}" mergeInterval="0" personalView="1" maximized="1" xWindow="1" yWindow="1" windowWidth="1920" windowHeight="850" activeSheetId="3"/>
    <customWorkbookView name="User569c - Личное представление" guid="{237E48EE-855D-4E22-A215-D7BA155C0632}" mergeInterval="0" personalView="1" maximized="1" xWindow="1" yWindow="1" windowWidth="1920" windowHeight="850" activeSheetId="3"/>
    <customWorkbookView name="user563c - Личное представление" guid="{63624039-79B7-4B53-8C9B-62AEAD1FE854}" mergeInterval="0" personalView="1" maximized="1" xWindow="1" yWindow="1" windowWidth="1920" windowHeight="802" activeSheetId="1"/>
    <customWorkbookView name="User_455 - Личное представление" guid="{C08C5C12-FFBC-4F4C-9138-5D34ADCEB223}" mergeInterval="0" personalView="1" maximized="1" xWindow="1" yWindow="1" windowWidth="1800" windowHeight="761" activeSheetId="2"/>
    <customWorkbookView name="user463d - Личное представление" guid="{EED4C4C4-2768-4906-8D20-11DE2EB8B1AD}" mergeInterval="0" personalView="1" maximized="1" xWindow="1" yWindow="1" windowWidth="1920" windowHeight="850" activeSheetId="1"/>
    <customWorkbookView name="User415b - Личное представление" guid="{6C4C0A1E-9F55-46A5-9256-CBEA636F78CA}" mergeInterval="0" personalView="1" maximized="1" xWindow="1" yWindow="1" windowWidth="1916" windowHeight="850" activeSheetId="4"/>
    <customWorkbookView name="user416c - Личное представление" guid="{C431141F-117F-49C7-B3E7-D4961D1E781E}" mergeInterval="0" personalView="1" maximized="1" xWindow="1" yWindow="1" windowWidth="1920" windowHeight="784" activeSheetId="4" showComments="commIndAndComment"/>
  </customWorkbookViews>
</workbook>
</file>

<file path=xl/calcChain.xml><?xml version="1.0" encoding="utf-8"?>
<calcChain xmlns="http://schemas.openxmlformats.org/spreadsheetml/2006/main">
  <c r="F467" i="2"/>
  <c r="F446"/>
  <c r="F440"/>
  <c r="F398"/>
  <c r="F389"/>
  <c r="F468" l="1"/>
  <c r="D657" l="1"/>
  <c r="F655"/>
  <c r="D655"/>
  <c r="F651"/>
  <c r="D651"/>
  <c r="F647"/>
  <c r="D647"/>
  <c r="F646"/>
  <c r="F645"/>
  <c r="F639"/>
  <c r="D639"/>
  <c r="F637"/>
  <c r="F631"/>
  <c r="F629"/>
  <c r="F627"/>
  <c r="F626"/>
  <c r="F625"/>
  <c r="F624"/>
  <c r="F623"/>
  <c r="F618"/>
  <c r="F617"/>
  <c r="F615"/>
  <c r="F614"/>
  <c r="F613"/>
  <c r="F612"/>
  <c r="F610"/>
  <c r="F609"/>
  <c r="F608"/>
  <c r="F606"/>
  <c r="F605"/>
  <c r="F603"/>
  <c r="F602"/>
  <c r="F601"/>
  <c r="F599"/>
  <c r="D599"/>
  <c r="F598"/>
  <c r="F597"/>
  <c r="F596"/>
  <c r="F595"/>
  <c r="F594"/>
  <c r="F593"/>
  <c r="F592"/>
  <c r="F591"/>
  <c r="F590"/>
  <c r="F589"/>
  <c r="F588"/>
  <c r="F587"/>
  <c r="F583"/>
  <c r="F582"/>
  <c r="F581"/>
  <c r="F580"/>
  <c r="F578"/>
  <c r="F577"/>
  <c r="F576"/>
  <c r="F575"/>
  <c r="F574"/>
  <c r="F572"/>
  <c r="D562"/>
  <c r="E501"/>
  <c r="D500"/>
  <c r="F490"/>
  <c r="D490"/>
  <c r="D489"/>
  <c r="F488"/>
  <c r="D488"/>
  <c r="F487"/>
  <c r="D487"/>
  <c r="F486"/>
  <c r="F485"/>
  <c r="D485"/>
  <c r="F484"/>
  <c r="D484"/>
  <c r="F483"/>
  <c r="D483"/>
  <c r="F482"/>
  <c r="D482"/>
  <c r="F481"/>
  <c r="D481"/>
  <c r="F480"/>
  <c r="D480"/>
  <c r="F479"/>
  <c r="D479"/>
  <c r="F477"/>
  <c r="D477"/>
  <c r="F476"/>
  <c r="D476"/>
  <c r="F475"/>
  <c r="D475"/>
  <c r="D474"/>
  <c r="F473"/>
  <c r="D473"/>
  <c r="D472"/>
  <c r="E662"/>
  <c r="E663"/>
  <c r="E664"/>
  <c r="E665"/>
  <c r="E666"/>
  <c r="E667"/>
  <c r="E668"/>
  <c r="E669"/>
  <c r="E670"/>
  <c r="E671"/>
  <c r="E672"/>
  <c r="E673"/>
  <c r="E674"/>
  <c r="E675"/>
  <c r="E676"/>
  <c r="E677"/>
  <c r="E678"/>
  <c r="E679"/>
  <c r="E680"/>
  <c r="F470" l="1"/>
  <c r="D501"/>
  <c r="F501"/>
  <c r="F644"/>
  <c r="D470"/>
  <c r="F659" l="1"/>
  <c r="D659"/>
  <c r="F746"/>
  <c r="D746"/>
  <c r="E745"/>
  <c r="E744"/>
  <c r="E743"/>
  <c r="E742"/>
  <c r="E741"/>
  <c r="E740"/>
  <c r="E739"/>
  <c r="E738"/>
  <c r="E737"/>
  <c r="E736"/>
  <c r="E735"/>
  <c r="E734"/>
  <c r="E733"/>
  <c r="E732"/>
  <c r="E731"/>
  <c r="E730"/>
  <c r="E729"/>
  <c r="E728"/>
  <c r="E727"/>
  <c r="E726"/>
  <c r="E725"/>
  <c r="E724"/>
  <c r="E723"/>
  <c r="E722"/>
  <c r="E721"/>
  <c r="E720"/>
  <c r="E719"/>
  <c r="E718"/>
  <c r="E717"/>
  <c r="E716"/>
  <c r="E715"/>
  <c r="E714"/>
  <c r="E713"/>
  <c r="E712"/>
  <c r="E711"/>
  <c r="E710"/>
  <c r="E709"/>
  <c r="E708"/>
  <c r="E707"/>
  <c r="E706"/>
  <c r="E705"/>
  <c r="E704"/>
  <c r="E703"/>
  <c r="E702"/>
  <c r="E701"/>
  <c r="E700"/>
  <c r="E699"/>
  <c r="E698"/>
  <c r="E697"/>
  <c r="E696"/>
  <c r="E695"/>
  <c r="E694"/>
  <c r="E693"/>
  <c r="E692"/>
  <c r="E691"/>
  <c r="E690"/>
  <c r="E689"/>
  <c r="E688"/>
  <c r="E687"/>
  <c r="E686"/>
  <c r="E685"/>
  <c r="E684"/>
  <c r="E683"/>
  <c r="E682"/>
  <c r="E681"/>
  <c r="E746" l="1"/>
  <c r="F1006"/>
  <c r="E1006"/>
  <c r="D1006"/>
  <c r="D100" l="1"/>
  <c r="E100"/>
  <c r="F92"/>
  <c r="F85"/>
  <c r="F82"/>
  <c r="F73"/>
  <c r="F71"/>
  <c r="F70"/>
  <c r="F69"/>
  <c r="F68"/>
  <c r="F67"/>
  <c r="F66"/>
  <c r="F65"/>
  <c r="F64"/>
  <c r="F63"/>
  <c r="F62"/>
  <c r="F61"/>
  <c r="F60"/>
  <c r="F59"/>
  <c r="F57"/>
  <c r="F56"/>
  <c r="F55"/>
  <c r="F54"/>
  <c r="F52"/>
  <c r="F51"/>
  <c r="F50"/>
  <c r="F49"/>
  <c r="F48"/>
  <c r="F46"/>
  <c r="F45"/>
  <c r="F44"/>
  <c r="F42"/>
  <c r="F41"/>
  <c r="F40"/>
  <c r="F39"/>
  <c r="F38"/>
  <c r="F37"/>
  <c r="F36"/>
  <c r="F35"/>
  <c r="F34"/>
  <c r="F33"/>
  <c r="F31"/>
  <c r="F30"/>
  <c r="F29"/>
  <c r="F28"/>
  <c r="F27"/>
  <c r="F26"/>
  <c r="F25"/>
  <c r="F24"/>
  <c r="F23"/>
  <c r="F22"/>
  <c r="F21"/>
  <c r="F20"/>
  <c r="E104"/>
  <c r="E105"/>
  <c r="E106"/>
  <c r="E107"/>
  <c r="D108"/>
  <c r="F108"/>
  <c r="E111"/>
  <c r="E112" s="1"/>
  <c r="D112"/>
  <c r="F112"/>
  <c r="F125"/>
  <c r="D125"/>
  <c r="E125"/>
  <c r="F129"/>
  <c r="D134"/>
  <c r="E134"/>
  <c r="F100" l="1"/>
  <c r="E108"/>
  <c r="F877"/>
  <c r="E877"/>
  <c r="D877"/>
  <c r="F874"/>
  <c r="E874"/>
  <c r="D874"/>
  <c r="F867"/>
  <c r="E867"/>
  <c r="D867"/>
  <c r="F863"/>
  <c r="E863"/>
  <c r="D863"/>
  <c r="F860"/>
  <c r="E860"/>
  <c r="D860"/>
  <c r="F857"/>
  <c r="E857"/>
  <c r="D857"/>
  <c r="F852"/>
  <c r="E852"/>
  <c r="D852"/>
  <c r="F848"/>
  <c r="E848"/>
  <c r="D848"/>
  <c r="F827"/>
  <c r="E827"/>
  <c r="D827"/>
  <c r="F801"/>
  <c r="E801"/>
  <c r="D801"/>
  <c r="F798"/>
  <c r="D789"/>
  <c r="D788"/>
  <c r="D787"/>
  <c r="D786"/>
  <c r="D782"/>
  <c r="E778"/>
  <c r="E798" s="1"/>
  <c r="F934"/>
  <c r="E878" l="1"/>
  <c r="F878"/>
  <c r="D775"/>
  <c r="E934"/>
  <c r="D934"/>
  <c r="D798" l="1"/>
  <c r="D878" s="1"/>
  <c r="F758"/>
  <c r="E758"/>
  <c r="D758"/>
  <c r="F18" l="1"/>
  <c r="E18"/>
  <c r="D18"/>
  <c r="F1242"/>
  <c r="E1242"/>
  <c r="D1242"/>
  <c r="F1240"/>
  <c r="E1240"/>
  <c r="D1240"/>
  <c r="F1238"/>
  <c r="E1233"/>
  <c r="D1233"/>
  <c r="E1228"/>
  <c r="D1228"/>
  <c r="E1223"/>
  <c r="D1223"/>
  <c r="E1218"/>
  <c r="D1218"/>
  <c r="F1217"/>
  <c r="D1217"/>
  <c r="E1212"/>
  <c r="E1217" s="1"/>
  <c r="E1206"/>
  <c r="D1206" s="1"/>
  <c r="E1201"/>
  <c r="D1201" s="1"/>
  <c r="E1196"/>
  <c r="D1196" s="1"/>
  <c r="E1191"/>
  <c r="D1191" s="1"/>
  <c r="E1186"/>
  <c r="D1186" s="1"/>
  <c r="E1181"/>
  <c r="D1181" s="1"/>
  <c r="E1176"/>
  <c r="D1176" s="1"/>
  <c r="E1171"/>
  <c r="D1171" s="1"/>
  <c r="E1166"/>
  <c r="D1166" s="1"/>
  <c r="E1161"/>
  <c r="D1161" s="1"/>
  <c r="E1156"/>
  <c r="D1156" s="1"/>
  <c r="E1151"/>
  <c r="D1151" s="1"/>
  <c r="F1150"/>
  <c r="E1146" s="1"/>
  <c r="D1146" s="1"/>
  <c r="F1145"/>
  <c r="E1141" s="1"/>
  <c r="D1141" s="1"/>
  <c r="E1136"/>
  <c r="D1136" s="1"/>
  <c r="F1135"/>
  <c r="E1131" s="1"/>
  <c r="D1131" s="1"/>
  <c r="F1125"/>
  <c r="E1121" s="1"/>
  <c r="D1121" s="1"/>
  <c r="F1120"/>
  <c r="E1116" s="1"/>
  <c r="D1116" s="1"/>
  <c r="F1115"/>
  <c r="E1111" s="1"/>
  <c r="D1111" s="1"/>
  <c r="F1110"/>
  <c r="E1101"/>
  <c r="D1101" s="1"/>
  <c r="E1096"/>
  <c r="D1096" s="1"/>
  <c r="E1090"/>
  <c r="D1090" s="1"/>
  <c r="E1085"/>
  <c r="D1085" s="1"/>
  <c r="E1080"/>
  <c r="D1080" s="1"/>
  <c r="E1075"/>
  <c r="D1075" s="1"/>
  <c r="E1070"/>
  <c r="D1070" s="1"/>
  <c r="E1065"/>
  <c r="D1065" s="1"/>
  <c r="E1060"/>
  <c r="D1060" s="1"/>
  <c r="E1055"/>
  <c r="D1055" s="1"/>
  <c r="E1050"/>
  <c r="D1050" s="1"/>
  <c r="E1045"/>
  <c r="D1045" s="1"/>
  <c r="E1040"/>
  <c r="D1040" s="1"/>
  <c r="F1038"/>
  <c r="E1034" s="1"/>
  <c r="D1034" s="1"/>
  <c r="F1033"/>
  <c r="E1029" s="1"/>
  <c r="D1029" s="1"/>
  <c r="E1024"/>
  <c r="D1024" s="1"/>
  <c r="F1023"/>
  <c r="E1019" s="1"/>
  <c r="F1018"/>
  <c r="E1018" s="1"/>
  <c r="D1018" s="1"/>
  <c r="F1017"/>
  <c r="E1013" s="1"/>
  <c r="D1013" s="1"/>
  <c r="F1012"/>
  <c r="E1238" l="1"/>
  <c r="D1238"/>
  <c r="F1211"/>
  <c r="F1095"/>
  <c r="E1008"/>
  <c r="E1106"/>
  <c r="D1106" s="1"/>
  <c r="D1211" s="1"/>
  <c r="F1243" l="1"/>
  <c r="E1095"/>
  <c r="D1008"/>
  <c r="D1095" s="1"/>
  <c r="D1243" s="1"/>
  <c r="E1211"/>
  <c r="E1243" l="1"/>
  <c r="D140" l="1"/>
  <c r="E137"/>
  <c r="E140" s="1"/>
  <c r="F140"/>
</calcChain>
</file>

<file path=xl/sharedStrings.xml><?xml version="1.0" encoding="utf-8"?>
<sst xmlns="http://schemas.openxmlformats.org/spreadsheetml/2006/main" count="4079" uniqueCount="1825">
  <si>
    <t>Назва об'єкту</t>
  </si>
  <si>
    <t>ВСЬОГО:</t>
  </si>
  <si>
    <t>Адреса</t>
  </si>
  <si>
    <t>Види робіт</t>
  </si>
  <si>
    <t>Сума, тис. грн. (з трьома дес.знаками)</t>
  </si>
  <si>
    <t>Виконано</t>
  </si>
  <si>
    <t>Х</t>
  </si>
  <si>
    <t>Виконавець робіт/послуг (підрядник)</t>
  </si>
  <si>
    <t>Заплановано на період з початку року з урахуванням змін</t>
  </si>
  <si>
    <t xml:space="preserve">Заплановано на рік з урахуванням змін
</t>
  </si>
  <si>
    <t>Управління освіти Миколаївської міської ради</t>
  </si>
  <si>
    <t xml:space="preserve">Управління охорони здоров'я Миколаївської міської ради  </t>
  </si>
  <si>
    <t>Управління з питань культури та охорони  культурної спадщини Миколаївської міської ради</t>
  </si>
  <si>
    <t>Управління у справах фізичної культури і спорту Миколаївської міської ради</t>
  </si>
  <si>
    <t>Департамент житлово-комунального господарства Миколаївської міської ради</t>
  </si>
  <si>
    <t>Департамент енергетики, енергозбереження та запровадження інноваційних технологій Миколаївської міської ради</t>
  </si>
  <si>
    <t>Управління капітального будівництва Миколаївської міської ради</t>
  </si>
  <si>
    <t>Управління державного архітектурно-будівельного контролю Миколаївської міської  ради</t>
  </si>
  <si>
    <t>Управління з питань надзвичайних ситуацій та цивільного захисту населення Миколаївської міської ради</t>
  </si>
  <si>
    <t>Управління комунального майна Миколаївської міської ради</t>
  </si>
  <si>
    <t>Департамент з надання адміністративних послуг Миколаївської міської ради</t>
  </si>
  <si>
    <t>Департамент внутрішнього фінансового контролю, нагляду та протидії корупції Миколаївської міської ради</t>
  </si>
  <si>
    <t>Адміністрація Заводського району Миколаївської міської ради</t>
  </si>
  <si>
    <t>Адміністрація Корабельного району Миколаївської міської ради</t>
  </si>
  <si>
    <t>Адміністрація Інгульського  району Миколаївської міської ради</t>
  </si>
  <si>
    <t>Адміністрація Центрального району Миколаївської міської ради</t>
  </si>
  <si>
    <t>ТОВ "Компанія Нікон-Буд"</t>
  </si>
  <si>
    <t>Капітальний ремонт спортивного майданчику ЗОШ №11 по вул. Китобоїв, 3 у м. Миколаєві, в т.ч. проектно-вишукувальні роботи та експертиза</t>
  </si>
  <si>
    <t>ТОВ "Тавріямонолітбуд"</t>
  </si>
  <si>
    <t>КНВП "Тріботехніка"</t>
  </si>
  <si>
    <t>Виготовлення проектно-кошторисної документації</t>
  </si>
  <si>
    <t xml:space="preserve">м. Миколаїв вул.Привільна,41/1, вул. Привільна 41/3 </t>
  </si>
  <si>
    <t>«Реконструкція приміщення під розміщення сімейної амбулаторії №1 КЗ ММР "ЦПМСД №5" за адресами вул. Привільна, 41/1 та вул. Привільна,41/3 в м. Миколаєві, в тому числі проектно-кошторисна документація та експертиза»</t>
  </si>
  <si>
    <t>Реконструкція</t>
  </si>
  <si>
    <t>ТОВ "Миколаївміськбуд"</t>
  </si>
  <si>
    <t>м.Миколаїв вул. Корабелів, 14-в</t>
  </si>
  <si>
    <t>«Реконструкція існуючого  будинку (літ. Н-1 автоклавна-кафе) під розміщення травматологічного пункту МЛШМД за адресою: вул. Корабелів, 14-в, м. Миколаїв, т.ч. проектні роботи та експертиза»</t>
  </si>
  <si>
    <t>м.Миколаїв                     вул. Чкалова,93</t>
  </si>
  <si>
    <t>«Реконструкція сімейної амбулаторії  №4 по вул. Чкалова,93 центра первинної медико-санітарної допомоги №3 в м.Миколаєві,  у т.ч.  проектні роботи та експертиза»</t>
  </si>
  <si>
    <t>м. Миколаїв, вул. Декабристів, 38-а</t>
  </si>
  <si>
    <t>Реконструкція павільйону-кафе з підвалом під культурно-ігровий павільйон в БУ ММР КІК "ДМ "Казка" по вул.Декабристів,38-а в м.Миколаєві, в т.ч. проектно-вишукувальні роботи та експертиза.</t>
  </si>
  <si>
    <t>Роботи з демонтажу, переобладнання приміщень, оздоблювальні роботи, влаштування гідроізоляції, встановлення пожежної сигналізації, вентиляції, встановлення системи електроопалення . Придбання супутніх матеріалів, обладнання та устаткування. Коригування проектно-кошторисної документації</t>
  </si>
  <si>
    <t>ТОВ "Антарес-БУД"</t>
  </si>
  <si>
    <t>м.Миколаїв, вул. Театральна, 1</t>
  </si>
  <si>
    <t>Реконструкція Миколаївського міського палацу культури "Молодіжний" по вулиці Театральній, 1 у м.Миколаїв, в т.ч. проектно-вишукувальні роботи та експертиза</t>
  </si>
  <si>
    <t>Коригування проектно-кошторисної документації, початок реконструкції палацу культури</t>
  </si>
  <si>
    <t>ПрАТ "БК"Житлопромбуд-8"</t>
  </si>
  <si>
    <t>м.Миколаїв, вул. Дачна, 50</t>
  </si>
  <si>
    <t xml:space="preserve">Капітальний ремонт будівлі дитячої музичної школи №5 за адресою: м.Миколаїв, вул. Дачна, 50, в т.ч. виготовлення проектно-кошторисної документації та експертиза </t>
  </si>
  <si>
    <t>Заміна вікон, 3х зовнішніх дверних блоків, заміна світильників із заміною електрощитів, утеплення стін та гідроізоляція будівлі школи</t>
  </si>
  <si>
    <t>ТОВ "ЖИТЛОРЕМБУД-НІКА"</t>
  </si>
  <si>
    <t>Капітальний ремонт споруди "Водойом" (каскадний басейн) з благоустроєм прилеглої території у БУ  КІК "ДМ "Казка" по вул.Декабристів,38-а в м.Миколаєві, в т.ч. проектно-вишукувальні роботи та експертиза.</t>
  </si>
  <si>
    <t>Капітальний ремонт споруди, благоустрій прилеглої території</t>
  </si>
  <si>
    <t>Капітальний ремонт споруди "Корабель" з басейном та благоустроєм прилеглої території  в БУ КІК "ДМ "Казка" по вул.Декабристів,38-а в м.Миколаєві, в т.ч. проектно-вишукувальні роботи та експертиза.</t>
  </si>
  <si>
    <t>вул.Спортивна 1/1  м.Миколаїв</t>
  </si>
  <si>
    <t>Капітальний ремонт адміністративної будівлі Центрального міського стадіону</t>
  </si>
  <si>
    <t xml:space="preserve">відновлення стін,  улаштування перегородок, внутрішне опорядження, заміна каналізації, установка насосів та кондиціонерів, монтаж  опалення, монтаж вентиляції, монтаж радіофікації, монтаж телефонізації та відеоспостереження, монтаж обладнання. </t>
  </si>
  <si>
    <t>ТОВ Ді КОР-БУД"</t>
  </si>
  <si>
    <t>Капітальний ремонт роздягальні(В-1) з вбудованою топковою Центрального міського стадіону</t>
  </si>
  <si>
    <t xml:space="preserve">улаштування  підлоги, оздоблювальні роботи, зовнішне оздоблення, фарбування покрівлі , вмонтовання обладнання  в роздягальні  В-1  з  вбудованою топковою </t>
  </si>
  <si>
    <t xml:space="preserve"> Ремонт (рестравраційний)-заміна системи опалення будівлі  СДЮЩОР з фехтування, установка автономного опалення</t>
  </si>
  <si>
    <t>Нове будівництво футбольного поля №1 (тренувального)  Центрального міського стадіону по вул.Спортивна 1/1 в м.Миколаєві  у т.ч. проектні роботи та експертиза</t>
  </si>
  <si>
    <t>ТОВ " міленіум Спорт"</t>
  </si>
  <si>
    <t>Всього</t>
  </si>
  <si>
    <t>Технагляд</t>
  </si>
  <si>
    <t>-</t>
  </si>
  <si>
    <t>проектно-кошторисна документація</t>
  </si>
  <si>
    <t>ТОВ "ІНПРОЕКТБУД"</t>
  </si>
  <si>
    <t>ТОВ "ЮЖНИЙ ГОРОД"</t>
  </si>
  <si>
    <t>ТОВ "АБ Масив"</t>
  </si>
  <si>
    <t>ФОП Павлов А.А.</t>
  </si>
  <si>
    <t>м. Миколаїв, вул. Ш.Кобера 13а</t>
  </si>
  <si>
    <t>КУ ММР "Центр підтримки та дозвілля ВПО та ветеранів АТО"  (в т.ч. проектні роботи та експертиза)</t>
  </si>
  <si>
    <t>Капітальний ремонт (в т.ч. проектні роботи та експертиза)</t>
  </si>
  <si>
    <t>вул.1 Лінія 34 а у м.Миколаєві</t>
  </si>
  <si>
    <t xml:space="preserve">Капітальний ремонт бібліотеки-філії №8 Центральної міської бібліотеки ім. М.Л. Кропивницького ЦБС для дорослих за адресою:вул.1 Лінія 34 а у м.Миколаєві, в т.ч. проектно-вишукувальні роботи та експертиза </t>
  </si>
  <si>
    <t xml:space="preserve">Капітальний ремонт, в т.ч. проектно-вишукувальні роботи та експертиза  </t>
  </si>
  <si>
    <t>у мікрорайоні Ялти у м. Миколаєві</t>
  </si>
  <si>
    <t>Нове будівництво каналізації на території житлового фонду приватного сектору у мікрорайоні Ялти у м. Миколаєві, в т.ч. проектно-вишукувальні роботи та експертиза</t>
  </si>
  <si>
    <t>Нове будівництво</t>
  </si>
  <si>
    <t>Нове будівництво Центру надання адміністративних послуг у м. Миколаєві, в т. ч. виготовлення проекту землеустрою, проектно-вишукувальні роботи та експертиза</t>
  </si>
  <si>
    <t>Капітальний ремонт АПС з ПКД ДНЗ № 117</t>
  </si>
  <si>
    <t>Капітальний ремонт АПС з ПКД ДНЗ №12</t>
  </si>
  <si>
    <t>Капітальний ремонт АПС з ПКД ДНЗ №49</t>
  </si>
  <si>
    <t>Капітальний ремонт АПС з ПКД ДНЗ №52</t>
  </si>
  <si>
    <t>Капітальний ремонт АПС з ПКД ДНЗ №141</t>
  </si>
  <si>
    <t>Капітальний ремонт АПС з ПКД ДНЗ №142</t>
  </si>
  <si>
    <t>Капітальний ремонт АПС з ПКД ДНЗ №148</t>
  </si>
  <si>
    <t>Капітальний ремонт АПС з ПКД ДНЗ №2</t>
  </si>
  <si>
    <t>Капітальний ремонт спортивного майданчику ЗОШ № 15</t>
  </si>
  <si>
    <t>Капітальний ремонт спортивного майданчику ЗОШ № 12</t>
  </si>
  <si>
    <t>Капітальний ремонт з ПКД та експертиза</t>
  </si>
  <si>
    <t>Капітальний ремонт АПС з ПКД ЗОШ №1</t>
  </si>
  <si>
    <t>Капітальний ремонт АПС з ПКД ЗОШ №6</t>
  </si>
  <si>
    <t>Капітальний ремонт АПС з ПКД ЗОШ №12</t>
  </si>
  <si>
    <t xml:space="preserve">м.Миколаїв, вул. Крилова,12/6 </t>
  </si>
  <si>
    <t>Капітальний ремонт АПС з ПКД ЗОШ №17</t>
  </si>
  <si>
    <t>Капітальний ремонт АПС з ПКД ЗОШ №18</t>
  </si>
  <si>
    <t>Капітальний ремонт АПС з ПКД ЗОШ №20</t>
  </si>
  <si>
    <t>Капітальний ремонт АПС з ПКД ЗОШ №22</t>
  </si>
  <si>
    <t>Капітальний ремонт АПС з ПКД ЗОШ №23</t>
  </si>
  <si>
    <t>Капітальний ремонт АПС з ПКД ЗОШ №28</t>
  </si>
  <si>
    <t>Капітальний ремонт АПС з ПКД ЗОШ №40</t>
  </si>
  <si>
    <t>Капітальний ремонт АПС з ПКД ЗОШ №42</t>
  </si>
  <si>
    <t>Капітальний ремонт АПС з ПКД ЗОШ №45</t>
  </si>
  <si>
    <t>Капітальний ремонт АПС з ПКД ЗОШ №46</t>
  </si>
  <si>
    <t>Капітальний ремонт АПС з ПКД ЗОШ №48</t>
  </si>
  <si>
    <t>Капітальний ремонт АПС з ПКД ЗОШ №50</t>
  </si>
  <si>
    <t>Капітальний ремонт АПС з ПКД ЗОШ №51</t>
  </si>
  <si>
    <t>Капітальний ремонт АПС з ПКД ЗОШ №52</t>
  </si>
  <si>
    <t>Капітальний ремонт АПС з ПКД ЗОШ №53</t>
  </si>
  <si>
    <t>Капітальний ремонт АПС з ПКД ЗОШ №56</t>
  </si>
  <si>
    <t>Капітальний ремонт АПС з ПКД ЗОШ №57</t>
  </si>
  <si>
    <t>Капітальний ремонт АПС з ПКД ЗОШ №60</t>
  </si>
  <si>
    <t>Капітальний ремонт АПС з ПКД Гімназії №4</t>
  </si>
  <si>
    <t>Капітальний ремонт АПС з ПКД ЗОШ №11</t>
  </si>
  <si>
    <t>Капітальний ремонт АПС з ПКД ЗОШ №19</t>
  </si>
  <si>
    <t>Капітальний ремонт АПС з ПКД академії дитячої творчості</t>
  </si>
  <si>
    <t>Капітальний ремонт АПС будиноку дитячої та юнацької творчості Заводського р-ну з ПКД</t>
  </si>
  <si>
    <t>Капітальний ремонт АПС будиноку дитячої та юнацької творчості Інгульського  р-ну з ПКД</t>
  </si>
  <si>
    <t>Капітальний ремонт АПС Палацу творчості учнів з ПКД</t>
  </si>
  <si>
    <t>вул.Робочій,8 в м.Миколаєві</t>
  </si>
  <si>
    <t>Прибудова  ЗОШ №22 по вул.Робочій,8 в м.Миколаєві (нове будівництво), у т.ч. проектно-вишукувальні роботи та експертиза</t>
  </si>
  <si>
    <t>мкр Північний м.Миколаїв</t>
  </si>
  <si>
    <t>вул. Ватутіна, 124 у м. Миколаєві</t>
  </si>
  <si>
    <t>Нове будівництво котельні ЗОШ №29 по вул. Ватутіна, 124 у м. Миколаєві, в т.ч. проектно-вишукувальні роботи та експертиза</t>
  </si>
  <si>
    <t xml:space="preserve"> вул. Генерала Карпенка 40а, у м. Миколаєві</t>
  </si>
  <si>
    <t>Капітальний ремонт системи опалення  та покрівлі  з утепленням фасаду  будівлі  СК "Надія" (СДЮШОР № 4) по вул. Генерала Карпенка 40а, у м. Миколаєві</t>
  </si>
  <si>
    <t>вул.Спортивна, 1/1 в м.Миколаєві</t>
  </si>
  <si>
    <t>Нове будівництво Центру легкої атлетики та ігрових видів спорту за адресою:  вул.Спортивна, 1/1 в м.Миколаєві, в т.ч. проектні роботи та експертиза</t>
  </si>
  <si>
    <t>пр. Героїв України, 4 в м. Миколаєві</t>
  </si>
  <si>
    <t>Нове будівництво борцівського манежу під куполом за адресою: пр. Героїв України, 4 в м. Миколаєві, у т. ч. проектно - вишукувальні роботи та експертиза</t>
  </si>
  <si>
    <t>Херсонське шосе, 112 в м. Миколаєві</t>
  </si>
  <si>
    <t>Нове будівництво  кладовища по Херсонському шосе, 112 в м. Миколаєві І черга, в т.ч. проектно-вишукувальні роботи та експертиза</t>
  </si>
  <si>
    <t>вул. Спортивна, 1/1 в. м. Миколаєві</t>
  </si>
  <si>
    <t>Реконструкція існуючого футбольного поля Центрального міського стадіону по вул. Спортивній, 1/1 в. м. Миколаєві, у т. ч. проектні роботи та експертиза</t>
  </si>
  <si>
    <t>м.Миколаїв</t>
  </si>
  <si>
    <t>КП ММР "Капітальне будівництво міста Миколаєва"</t>
  </si>
  <si>
    <t>Вул.Спортивна від вул. Миру до вул.Віктора Скаржинського у приватному секторі Заводського району м.Миколаєва</t>
  </si>
  <si>
    <t>Капітальний ремонт дороги по вул.Спортивна від вул. Миру до вул.Віктора Скаржинського у приватному секторі Заводського району м.Миколаєва</t>
  </si>
  <si>
    <t>Капітальний ремонт дороги</t>
  </si>
  <si>
    <t>Вул.Набережна від будинку №21 до вул.Віктора Скаржинського у приватному секторі Заводського району м.Миколаєва</t>
  </si>
  <si>
    <t>Капітальний ремонт дороги по вул.Набережна від будинку №21 до вул.Віктора Скаржинського у приватному секторі Заводського району м.Миколаєва</t>
  </si>
  <si>
    <t>вул. 6 Слобідська 46. 46А</t>
  </si>
  <si>
    <t>кап ремонт дитячого та спортивного майданчику</t>
  </si>
  <si>
    <t>ТОВ "Тринолл"</t>
  </si>
  <si>
    <t>технагляд за капремонтом</t>
  </si>
  <si>
    <t>ФОП Царюк</t>
  </si>
  <si>
    <t>пров. Дорожній</t>
  </si>
  <si>
    <t>капремонт дорожн. покриття по пров. Дорожній</t>
  </si>
  <si>
    <t>технагляд</t>
  </si>
  <si>
    <t>пров. Шевченка</t>
  </si>
  <si>
    <t>капремонт дорожн. Покриття по пров. Шевченка</t>
  </si>
  <si>
    <t>Херсонське шосе через дорогу вуд буд. Кругова № 95</t>
  </si>
  <si>
    <t>вул. Новозаводська по пр. Миру № 72</t>
  </si>
  <si>
    <t>капремонт зупинки громадського транспорту</t>
  </si>
  <si>
    <t>ТОВ "Тефітстайл"</t>
  </si>
  <si>
    <t>просп. Центральний буд. № 295</t>
  </si>
  <si>
    <t>пр. Богоявленський напротив концерт-холу "Юність"</t>
  </si>
  <si>
    <t>капремонт внутрішньоквартального проїзду</t>
  </si>
  <si>
    <t>вул. 2 Лінія</t>
  </si>
  <si>
    <t>капремонт доріг</t>
  </si>
  <si>
    <t>пров. 5 Інгульський від вул. Кругова до вул. 5 Інгульська</t>
  </si>
  <si>
    <t>вул. 5 Інгульська від № 47 до вул. Кругова</t>
  </si>
  <si>
    <t>пров. Першотравневий. Вул. 2 Лінія. Пров. 5 Інгульс від вул. Кругова до вул. 5 Інгульська. Вул. 5 Інгульська від № 47 до вул. Кругова</t>
  </si>
  <si>
    <t>виготовлення ПКД капремонту 4-х доріг</t>
  </si>
  <si>
    <t>Разом</t>
  </si>
  <si>
    <t>Капітальний ремонт</t>
  </si>
  <si>
    <t>відновленню асфальтового покриття прибудинкових територій та внутрішньоквартальних проїздів вул. Безіменна,  99, 101</t>
  </si>
  <si>
    <t>Капітальний ремонт дорожнього покриття внутришньквартального проїздів по вул.Нікольська,9,9-А у Центральному районі м.Миколаєва</t>
  </si>
  <si>
    <t>оплата сертифікатів згідно ПКМУ від 13.04.11 №461</t>
  </si>
  <si>
    <t>УК у м.Миколаїв / 22012504</t>
  </si>
  <si>
    <t>вул. Майстерська від вул. 3 Воєнна до вул. 6 Воєнна у Центральному районі м. Миколаєва</t>
  </si>
  <si>
    <t>Капітальний ремонт дороги приватного сектору вул. Майстерська від вул. 3 Воєнна до вул. 6 Воєнна у Центральному районі м. Миколаєва</t>
  </si>
  <si>
    <t>вул. 6 Воєнна   від вул. 1 Екіпажна до вул. Котельна у Центральному районі м. Миколаєва</t>
  </si>
  <si>
    <t>Капітальний ремонт дороги приватного сектору по вул. 6 Воєнна   від вул. 1 Екіпажна до вул. Котельна у Центральному районі м. Миколаєва</t>
  </si>
  <si>
    <t>вул.Рекордна від буд.1 до вул. Урожайна у Центральному районі м. Миколаєва</t>
  </si>
  <si>
    <t>Капітальний ремонт дороги приватного сектору по вул.Рекордна від буд.1 до вул. Урожайна у Центральному районі м. Миколаєва</t>
  </si>
  <si>
    <t>вул. Західна у Центральному районі м. Миколаєва</t>
  </si>
  <si>
    <t>Капітальний ремонт дороги приватного сектору по вул. Західна у Центральному районі м. Миколаєва</t>
  </si>
  <si>
    <t>вул. Словянська від буд. №55 до пров. Військового  у Центральному районі м. Миколаєва</t>
  </si>
  <si>
    <t>Капітальний ремонт дороги приватного сектору по вул. Словянська від буд. №55 до пров. Військового  у Центральному районі м. Миколаєва</t>
  </si>
  <si>
    <t>пров.Матроському у Ц.р-ні</t>
  </si>
  <si>
    <t>Капітальний ремонт дороги приватного сектору по пров.Матроському у Ц.р-ні</t>
  </si>
  <si>
    <t>УК у м.Миколаїв / 22012500</t>
  </si>
  <si>
    <t>пров.Чумацькому  у Ц.р-ні</t>
  </si>
  <si>
    <t>Капітальний ремонт дороги приватного сектору по пров.Чумацькому  у Ц.р-ні</t>
  </si>
  <si>
    <t>вул. Цілинна від буд. №35 до вул. Сергія Цвєтка у Центральному районі м. Миколаєва</t>
  </si>
  <si>
    <t>Капітального ремонту дороги приватного сектору по вул. Цілинна від буд. №35 до вул. Сергія Цвєтка у Центральному районі м. Миколаєва</t>
  </si>
  <si>
    <t>вул. 10 Воєнна від вул. 2 Екіпажна до вул. Константинівська у приватному секторі Центрального району м.Миколаєва</t>
  </si>
  <si>
    <t>Капітальний ремонт дорожнього покриття по вул. 10 Воєнна від вул. 2 Екіпажна до вул. Константинівська у приватному секторі Центрального району м.Миколаєва</t>
  </si>
  <si>
    <t xml:space="preserve"> вул. Вишнева у Центральному районі м.Миколаєва</t>
  </si>
  <si>
    <t>Капітальний ремонт дороги приватного сектору по вул. Вишнева у Центральному районі м.Миколаєва</t>
  </si>
  <si>
    <t>Департамент праці та соціального захисту населення Миколаївської міської ради</t>
  </si>
  <si>
    <t>адмінбудівля</t>
  </si>
  <si>
    <t>Управління земельних ресурсів Миколаївської міської ради</t>
  </si>
  <si>
    <t>вул. Новобудівна</t>
  </si>
  <si>
    <t>Виконавчий комітет  Миколаївської міської ради</t>
  </si>
  <si>
    <t>Управління містобудування та архітектури Миколаївської міської ради</t>
  </si>
  <si>
    <t>Департамент фінансів Миколаївської міської ради</t>
  </si>
  <si>
    <t>вул. Океанівська, 28</t>
  </si>
  <si>
    <t>Капітальний ремонт внутрішньоквартальних проїздів</t>
  </si>
  <si>
    <t>вул. Попеля, 162, 170</t>
  </si>
  <si>
    <t>пр. Богоявленський, 305, 307, вул. Новобудівна, 9</t>
  </si>
  <si>
    <t>вул. Ольжича, 3-д вздовж вул. Айвазовського, 5-а та ЗОШ №1</t>
  </si>
  <si>
    <t>вул. 295 Стрілецької дивізії вздовж будинків №91-а, 91-б, 91-в</t>
  </si>
  <si>
    <t>вул. Океанівська, 18, 18/1, 18/2, 20, 20/1</t>
  </si>
  <si>
    <t>пр. Корабелів вздовж ЗОШ №54 до ЗОШ №1</t>
  </si>
  <si>
    <t>пр. Богоявленський, 320, 324, 326</t>
  </si>
  <si>
    <t>вул. Знаменська, 35-43</t>
  </si>
  <si>
    <t>Капітальний ремонт тротуарів</t>
  </si>
  <si>
    <t>вул. 2, 9, 10, 11, 12 Козацька, вул. Воїнська дорога</t>
  </si>
  <si>
    <t>Капітальний ремонт мереж зовнішнього освітлення</t>
  </si>
  <si>
    <t>ТОВ "Светлолюкс-Электромонтаж"</t>
  </si>
  <si>
    <t>вул. Айвазовського та пр. Корабелів від вул. Айвазовського до профілакторію "Знання"</t>
  </si>
  <si>
    <t>вул. Ліванова</t>
  </si>
  <si>
    <t>ТОВ "Миколаївавтодор"</t>
  </si>
  <si>
    <t>вул. Єсеніна від №77 до вул. Фруктової</t>
  </si>
  <si>
    <t xml:space="preserve">Капітальний ремонт дороги </t>
  </si>
  <si>
    <t>вул. Галицинівська</t>
  </si>
  <si>
    <t>пров. 2-й Братський</t>
  </si>
  <si>
    <t>вул. Рибна від вул. Янтарної до вул. Торгової</t>
  </si>
  <si>
    <t>Благоустрій території та улаштування скверу в районі будинків по вул. О.Ольжича (Ленінградська), 1-а, 1-б, 1-в до вул. Айвазовського (нове будівництво), у т.ч. коригування проекту та експертиза</t>
  </si>
  <si>
    <t>Будівництво інших об’єктів соціальної та виробничої інфраструктури комунальної власності</t>
  </si>
  <si>
    <t>Технічний нагляд</t>
  </si>
  <si>
    <t>ФОП Дейнеко Іван Вікторович</t>
  </si>
  <si>
    <t>ТОВ "Миколаївавтодор" (№36954743)</t>
  </si>
  <si>
    <t>ФОП Царюк С.В.</t>
  </si>
  <si>
    <t>ФОП Дейнеко Іван Вікторович (№2989513713)</t>
  </si>
  <si>
    <t>Виготовлення ПКД</t>
  </si>
  <si>
    <t xml:space="preserve">ФОП Ваховський Максим Олегович </t>
  </si>
  <si>
    <t xml:space="preserve">ТОВ "ДОРБУДСЕРВІС" </t>
  </si>
  <si>
    <t>Авторський нагляд</t>
  </si>
  <si>
    <t>ФОП Ваховський Максим Олегович</t>
  </si>
  <si>
    <t xml:space="preserve">ФОП Царюк С.В. </t>
  </si>
  <si>
    <t>Вул. Антична від вул. Покровська до будинку № 8 у приватному секторі Заводського району м.Миколаєва</t>
  </si>
  <si>
    <t>Проектно-кошторисна документація по об’єкту "Капітальний ремонт дороги по вул. Антична від вул. Покровська до будинку № 8 у приватному секторі Заводського району м.Миколаєва"</t>
  </si>
  <si>
    <t>Проектно-кошторисна документація</t>
  </si>
  <si>
    <t>Капітальний ремонт спортивно-кінологічного майданчика по вул. Новобудівній у Корабельному районі м. Миколаєва</t>
  </si>
  <si>
    <t>Капітальний ремонт ігрових та спортивних майданчиків</t>
  </si>
  <si>
    <t>Капітальний ремонт внутрішньоквартальних проїздів по вул. Океанівська, 28</t>
  </si>
  <si>
    <t>ФОП Гурко А.М.</t>
  </si>
  <si>
    <t>Капітальний ремонт внутрішньоквартальних проїздів по вул. Попеля, 162, 170 у Корабельному районі м. Миколаєва</t>
  </si>
  <si>
    <t>Капітальний ремонт внутрішньоквартальних проїздів по пр. Богоявленському, 305, 307, вул. Новобудівний, 9</t>
  </si>
  <si>
    <t>Капітальний ремонт внутрішньоквартальних проїздів від будинку по вул. Олега Ольжича, 3-д вздовж будинку по вул. Айвазовського, 5-а та ЗОШ №1</t>
  </si>
  <si>
    <t>Капітальний ремонт внутрішньоквартальних проїзду по вул. 295 Стрілецької дивізії вздовж будинків №91-а, 91-б, 91-в</t>
  </si>
  <si>
    <t>Капітальний ремонт внутрішньоквартальних проїздів по вул. Океанівській, 18, 18/1, 18/2, 20, 20/1 і пр. Богоявленському, 317, 319</t>
  </si>
  <si>
    <t>Капітальний ремонт внутрішньоквартальних проїздів по пр. Корабелів вздовж ЗОШ №54 до ЗОШ №1</t>
  </si>
  <si>
    <t>Капітальний ремонт внутрішньоквартальних проїзду по пр. Богоявленському, 320, 324, 326</t>
  </si>
  <si>
    <t>Капітальний ремонт дорожнього одягу міжквартального проїзду по вул. Знаменській від буд. №35 до буд. №43</t>
  </si>
  <si>
    <t>пр. Богоявленський, 332</t>
  </si>
  <si>
    <t>Капітальний ремонт тротуарної частини по пр. Богоявленському від №332 до вул. Новобудівної у Корабельному районі м. Миколаєва</t>
  </si>
  <si>
    <t>ФОП Озейчук С.М.</t>
  </si>
  <si>
    <t xml:space="preserve">вул. Попеля, 162, 170 </t>
  </si>
  <si>
    <t>Капітальний ремонт тротуару по вул. Попеля, 162, 170 у Корабельному районі м. Миколаєва</t>
  </si>
  <si>
    <t>Капітальний ремонт зовнішніх ліній електроосвітлення по вул. 2-а Козацька, вул. 9-а Козацька, вул. 10-а Козацька, вул. 11-а Козацька, вул. 12-а Козацька, вул. Воїнська дорога</t>
  </si>
  <si>
    <t>вул. Приміська</t>
  </si>
  <si>
    <t>Капітальний ремонт мереж зовнішнього освітлення по вул. Приміській у Корабельному районі м. Миколаєва</t>
  </si>
  <si>
    <t xml:space="preserve">Капітальний ремонт мереж зовнішнього освітлення по вул. Айвазовського та пр. Корабелів від вул. Айвазовського до профілакторію "Знання"  у Корабельному районі м. Миколаєва </t>
  </si>
  <si>
    <t>Капітальний ремонт дороги приватного сектору по пров. Ліванова</t>
  </si>
  <si>
    <t>вул. Металургів від вул. Леваневського до вул. Львівської</t>
  </si>
  <si>
    <t>Капітальний ремонт дорожнього одягу дороги по вул. Металургів від вул. Леваневського до вул. Львівської в м. Миколаєві</t>
  </si>
  <si>
    <t xml:space="preserve">пров. Шосейний від пр. Богоявленського до пров. 1-й Шосейний </t>
  </si>
  <si>
    <t>Капітальний ремонт дорожнього покриття приватного сектору по пров. Шосейному від пр. Богоявленського до пров. 1-й Шосейний у Корабельному районі м. Миколаєва</t>
  </si>
  <si>
    <t>вул. Ударна від вул. Родинної до вул. Гагаріна</t>
  </si>
  <si>
    <t>Капітальний ремонт дорожнього одягу дороги по вулиці Ударна від вул. Родинної до вул. Гагаріна в м. Миколаєві</t>
  </si>
  <si>
    <t>ТОВ "Кайсер"</t>
  </si>
  <si>
    <t>пров. Широкий</t>
  </si>
  <si>
    <t>Капітальний ремонт дорожнього покриття по провулку Широкому в приватному секторі житлової забудови Корабельного району м. Миколаєва</t>
  </si>
  <si>
    <t xml:space="preserve">вул. Приозерна від Об'їзної дороги до буд. №178 </t>
  </si>
  <si>
    <t>Капітальний ремонт дорожнього покриття по вул. Приозерній від Об'їзної дороги до буд. №178 в приватному секторі житлової забудови Корабельного району м. Миколаєва</t>
  </si>
  <si>
    <t xml:space="preserve">вул. Приозерна від пр. Богоявленського до вул. Академіка Рильського </t>
  </si>
  <si>
    <t>Капітальний ремонт дорожнього покриття по вул. Приозерній від пр. Богоявленського до вул. Академіка Рильського в приватному секторі житлової забудови Корабельного району м. Миколаєва</t>
  </si>
  <si>
    <t>відновленню асфальтового покриття прибудинкових територій та внутрішньоквартальних проїздів вул. Чкалова, 58, 60</t>
  </si>
  <si>
    <t>ФОП "Дейнеко Олена Сергіївна"</t>
  </si>
  <si>
    <t>авторський нагляд</t>
  </si>
  <si>
    <t>ФОП " Літвіненнко Аліна Олегівна"</t>
  </si>
  <si>
    <t>відновленню асфальтового покриття прибудинкових територій та внутрішньоквартальних проїздів вул. Чкалова, 62</t>
  </si>
  <si>
    <t>відновленню асфальтового покриття прибудинкових територій та внутрішньоквартальних проїздів вул. Пр.Центрральний,139</t>
  </si>
  <si>
    <t>ФОП "Ваховський Максим Олегович"</t>
  </si>
  <si>
    <t>пров. Рейдовий у  у Центральному районі м. Миколаєва</t>
  </si>
  <si>
    <t>Капітальний ремонт дороги приватного сектору по пров. Рейдовий  у Центральному районі м. Миколаєва</t>
  </si>
  <si>
    <t>ТОВ "Будівельна фірма Укрінбуд"</t>
  </si>
  <si>
    <t>ТОВ "Держдорпроект"</t>
  </si>
  <si>
    <t>по вул.Соколина від буд.2а до пров.Сонячний. від.пров.Сонячного до вул.Буревісників</t>
  </si>
  <si>
    <t xml:space="preserve">виготовлення ПКД </t>
  </si>
  <si>
    <t xml:space="preserve"> пров. Сонячний</t>
  </si>
  <si>
    <t xml:space="preserve"> вул.9 Лінія від вул.12 Повздовжня до Херсонського шосе </t>
  </si>
  <si>
    <t>м. Миколаїв, вул. 1 Госпітальна, 1</t>
  </si>
  <si>
    <t>Реставрація пам’ятки історії  місцевого значення, в якій навчався Ш. Кобер -дитяча музична школа №8 по вул. 1 Госпітальна,1 в м.Миколаєві (першочергові протиаварійні роботи), в т.ч. проектно-вишукувальні роботи та експертиза</t>
  </si>
  <si>
    <t>Реставраційні роботи, посилення конструкцій перекриття між 1-м та 2-м поверхами. Оздоблювальні роботи. Завершення початих у 2017 році робіт.</t>
  </si>
  <si>
    <t>ТОВ "Ді Кор-Буд"</t>
  </si>
  <si>
    <t xml:space="preserve">м. Миколаїв, вул.Сергія Цвєтка, 17 </t>
  </si>
  <si>
    <t>Реконструкція Дитячої школи мистецтва №1 (добудова концертної зали) по вул.Сергія Цвєтка, 17 в м.Миколаєві, в т.ч. проектно-вишукувальні роботи та експертиза</t>
  </si>
  <si>
    <t xml:space="preserve">м.Миколаїв, п. Корабелів, 12 </t>
  </si>
  <si>
    <t>Капітальний ремонт у бібліотеці-філії №8 ЦМБ для дітей ім.Ш.Кобера і В.Хоменко за адресою: п. Корабелів, 12 у м.Миколаєві, в т.ч. виготовлення проектно-кошторисної документації та експертиза</t>
  </si>
  <si>
    <t>заміна вітражів, вхідних дверей, ремонт фасаду, ганку, пандусу</t>
  </si>
  <si>
    <t>м.Миколаїв, вул. Силікатна, 174</t>
  </si>
  <si>
    <t>Капітальний ремонт бібліотеки-філіалу № 21  ЦМБ  ім. М.Л. Кропивницького Центральної бібліотечної системи для дорослих, в т.ч. виготовлення проектно-кошторисної документації та експертиза</t>
  </si>
  <si>
    <t>м. Миколаїв, пр.Богоявленський, 328</t>
  </si>
  <si>
    <t xml:space="preserve">Капітальний ремонт малого залу  "Миколаївського міського палацу культури "Корабельний" за адресою: м.Миколаїв, пр.Богоявленський, 328" в т.ч. проектно-вишукувальні роботи та експертиза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</si>
  <si>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Ремонт малої зали після усунення аварійного стану даху. (оздоблення стін, ремонт підлоги, ремонт сцени, заміна вікон, електромонтажні роботи) </t>
  </si>
  <si>
    <t xml:space="preserve">Капітальний ремонт теплотраси Миколаївського міського палацу культури "Корабельний" , в т.ч.проектно-вишукувальні роботи та експертиза </t>
  </si>
  <si>
    <t>витрати згідно судового провадження</t>
  </si>
  <si>
    <t>згідно рішення суду по справі № 915/263/18 від 05.06.18</t>
  </si>
  <si>
    <t xml:space="preserve"> Склади матеріального резерву</t>
  </si>
  <si>
    <t>Капітальний ремонт покрівлі</t>
  </si>
  <si>
    <t>управління
  капітального будівництва</t>
  </si>
  <si>
    <t>ТОВ "ИСКОБАР"</t>
  </si>
  <si>
    <t>вул. Ген. Свиридова, 38</t>
  </si>
  <si>
    <t>вул. Чкалова, 80</t>
  </si>
  <si>
    <t>м. Миколаїв вул. Урицького, 2</t>
  </si>
  <si>
    <t>ТОВ "Ласкардо"</t>
  </si>
  <si>
    <t>вул. Айвазовського, 8</t>
  </si>
  <si>
    <t>ФОП Круліковський К.Я.</t>
  </si>
  <si>
    <t>вул. Курортна, 2А</t>
  </si>
  <si>
    <t>м. Миколаїв, вул.1-й Екіпажна, 2</t>
  </si>
  <si>
    <t>вул. Дачна, 2</t>
  </si>
  <si>
    <t>вул. Космонавтів, 70</t>
  </si>
  <si>
    <t>вул. Чорноморська, 1</t>
  </si>
  <si>
    <t>вул. Передова, 11А</t>
  </si>
  <si>
    <t>вул. Потьомкінська, 147А</t>
  </si>
  <si>
    <t>вул. Олійника, 36</t>
  </si>
  <si>
    <t>Капітальний ремонт будівлі ЗОШ № 32</t>
  </si>
  <si>
    <t>Капітальний ремонт спортивного майданчику ЗОШ № 53</t>
  </si>
  <si>
    <t>Капітальний ремонт будівлі ЗОШ № 59</t>
  </si>
  <si>
    <t>вул.М.Морська, 78 у м. Миколаєві</t>
  </si>
  <si>
    <t>Нове будівництво котельні ЗОШ №4 по вул.М.Морська, 78 у м. Миколаєві, в т.ч. проектно-вишукувальні роботи та експертиза</t>
  </si>
  <si>
    <t>нове будівництво</t>
  </si>
  <si>
    <t>Нове будівництво дошкільного начального закладу по вул.Променева у мікрорайоні «Північний» м.Миколаєва, в т.ч. проектно-вишукувальні роботи та експертиза</t>
  </si>
  <si>
    <t>Нове будівництво (коригування ПКД)</t>
  </si>
  <si>
    <t>ТОВ "Миколаїв-Проект"</t>
  </si>
  <si>
    <t>Нове будівництво (розробка ПКД)</t>
  </si>
  <si>
    <t>ТОВ "ЕСГ-України"</t>
  </si>
  <si>
    <t>Нове будівництво мереж каналізації по вул. Чкалова від буд.№1/2 до вул. Рюміна;  по вул.Дунаєва від вул.Андрєєва-Палагнюка до вул.Рюміна; по вул.Сінна від буд.№10/1 до вул.Рюміна; по вул.Андрєєва-Палагнюка від буд.№1/2 до вул.Дунаєва; по вул.Рюміна від вул.Чкалова до існуючого колодязя на мережі напроти буд.№16 у м. Миколаєві, в т.ч. проектно-вишукувальні роботи та експертиза</t>
  </si>
  <si>
    <t>Реконструкція топкової (із змінами існуючих газових котлів) у відділеннях Центрального району міського територіального центру соціального обслуговування (надання соціальних послуг) за адресою: м.Миколаїв, вул.Шевченка, 19-А, у т.ч. проектно-вишукувальні роботи та експертиза</t>
  </si>
  <si>
    <t>Нове будівництво  велодоріжки по пр. Богоявленському  від Широкобальського шляхопроводу до вул. Гагаріна в м. Миколаєві, в т.ч. проектно-вишукувальні роботи та експертиза</t>
  </si>
  <si>
    <t>м. Миколаїв, пров. 1 Шосейний, 1</t>
  </si>
  <si>
    <t xml:space="preserve">Капітальний ремонт сімейної амбулаторії КЗ ММР «ЦПМСД №1» </t>
  </si>
  <si>
    <t>Будівельні роботи, виготовлення проекту, авторський та технічний нагляд</t>
  </si>
  <si>
    <t>ТОВ "МОНАРХ СТРОЙ"; ТОВ "Ласкардо"; ФОП Щербаченя О.В.</t>
  </si>
  <si>
    <t>Реконструкція; коригування проекту</t>
  </si>
  <si>
    <t>ТОВ "Н.Проет-Тайм"; ТОВ "Антарес-Буд"</t>
  </si>
  <si>
    <t>Реконструкція з термосанацією</t>
  </si>
  <si>
    <t xml:space="preserve"> м. Миколаїв, пр. Богоявленський, 297.</t>
  </si>
  <si>
    <t>дошкільний навчальний заклад № 106 за адресою: м. Миколаїв, пр. Богоявленський, 297.</t>
  </si>
  <si>
    <t>м. Миколаїв, вул. Радісна, 4.</t>
  </si>
  <si>
    <t>дошкільний навчальний заклад № 123 за адресою: м. Миколаїв, вул. Радісна, 4.</t>
  </si>
  <si>
    <t>м. Миколаїв, вул. Привільна, 57.</t>
  </si>
  <si>
    <t>дошкільний навчальний заклад № 87 за адресою: м. Миколаїв, вул. Привільна, 57.</t>
  </si>
  <si>
    <t xml:space="preserve"> м. Миколаїв, вул. Квітнева, 4. </t>
  </si>
  <si>
    <t xml:space="preserve">дошкільний навчальний заклад № 66 за адресою: м. Миколаїв, вул. Квітнева, 4. </t>
  </si>
  <si>
    <t xml:space="preserve"> м. Миколаїв, пров. Парусний, 7-Б.</t>
  </si>
  <si>
    <t>дошкільний навчальний заклад № 52 за адресою: м. Миколаїв, пров. Парусний, 7-Б.</t>
  </si>
  <si>
    <t xml:space="preserve"> м. Миколаїв, вул. Чорноморська, 1-а. </t>
  </si>
  <si>
    <t xml:space="preserve">перший корпус Миколаївської загальноосвітньої школи І-ІІІ ступенів №60 за адресою: м. Миколаїв, вул. Чорноморська, 1-а. </t>
  </si>
  <si>
    <t>Експертний звіт від 06.11.2017 №15-0580-17
ТОВ "ФАСАД-ЦЕНТР"
ФОП Мовенко С.Н.
ТОВ "ІНПРОЕКТБУД"</t>
  </si>
  <si>
    <t xml:space="preserve">м. Миколаїв, вул. Чкалова, 114. </t>
  </si>
  <si>
    <t xml:space="preserve">загальноосвітня школа І-ІІІ ступенів №3 за адресою: м. Миколаїв, вул. Чкалова, 114. </t>
  </si>
  <si>
    <t>м. Миколаїв, вул. Вільна (Свободна), 38 .</t>
  </si>
  <si>
    <t>загальноосвітня школа І-ІІІ ступенів № 14 за адресою: м. Миколаїв, вул. Вільна (Свободна), 38 .</t>
  </si>
  <si>
    <t xml:space="preserve"> м. Миколаїв, пр.Г. Сталінграду (пр. Героїв України), 85-А .</t>
  </si>
  <si>
    <t>дошкільний навчальний заклад № 141 за адресою: м. Миколаїв, пр.Г. Сталінграду (пр. Героїв України), 85-А .</t>
  </si>
  <si>
    <t>м. Миколаїв, вул. Океанівська, 43.</t>
  </si>
  <si>
    <t>дошкільний навчальний заклад № 103 за адресою: м. Миколаїв, вул. Океанівська, 43.</t>
  </si>
  <si>
    <t>м. Миколаїв, вул. Океанівська, 42.</t>
  </si>
  <si>
    <t>дошкільний навчальний заклад № 144 за адресою: м. Миколаїв, вул. Океанівська, 42.</t>
  </si>
  <si>
    <t>м. Миколаїв,  вул. Крилова, 42.</t>
  </si>
  <si>
    <t>загальноосвітня школа І-ІІІ ступенів № 52 за адресою: м. Миколаїв,  вул. Крилова, 42.</t>
  </si>
  <si>
    <t xml:space="preserve"> м. Миколаїв,  вул. Передова, 11-А.</t>
  </si>
  <si>
    <t>загальноосвітня школа  І-ІІІ ступенів № 19 за адресою: м. Миколаїв,  вул. Передова, 11-А.</t>
  </si>
  <si>
    <t>м. Миколаїв, вул. Космонавтів, 70.</t>
  </si>
  <si>
    <t>загальноосвітня школа І-ІІІ ступенів № 20 за адресою: м. Миколаїв, вул. Космонавтів, 70.</t>
  </si>
  <si>
    <t>м. Миколаїв, вул. Горького (вул. Христо Ботєва), 41.</t>
  </si>
  <si>
    <t>загальноосвітня школаІ-ІІІ ступенів № 16 за адресою: м. Миколаїв, вул. Горького (вул. Христо Ботєва), 41.</t>
  </si>
  <si>
    <t xml:space="preserve"> м. Миколаїв, вул. Гарнізонна, 10.</t>
  </si>
  <si>
    <t>загальноосвітня школа І-ІІІ ступенів № 23 за адресою: м. Миколаїв, вул. Гарнізонна, 10.</t>
  </si>
  <si>
    <t>м. Миколаїв, вул. Знаменська, 2/6.</t>
  </si>
  <si>
    <t>загальноосвітня школа  І-ІІІ ступенів № 44 за адресою: м. Миколаїв, вул. Знаменська, 2/6.</t>
  </si>
  <si>
    <t>м. Миколаїв, вул. Надпрудна, 15.</t>
  </si>
  <si>
    <t>дитячий будинок сімейного типу за адресою: м. Миколаїв, вул. Надпрудна, 15.</t>
  </si>
  <si>
    <t>м. Миколаїв, вул. Гетьмана Сагайдачного (Ватутіна),124.</t>
  </si>
  <si>
    <t>загальноосвітня школа  І-ІІІ ступенів № 29 за адресою: м. Миколаїв, вул. Гетьмана Сагайдачного (Ватутіна),124.</t>
  </si>
  <si>
    <t>Експертний звіт від 31.01.2018 №124/17-М</t>
  </si>
  <si>
    <t xml:space="preserve"> м. Миколаїв, вул. Генерала Попеля,164.</t>
  </si>
  <si>
    <t>загальноосвітня школа  І-ІІІ ступенів № 48 за адресою: м. Миколаїв, вул. Генерала Попеля,164.</t>
  </si>
  <si>
    <t xml:space="preserve"> м. Миколаїв, вул. Колодязна, 9.</t>
  </si>
  <si>
    <t>дошкільний навчальний заклад № 29 за адресою: м. Миколаїв, вул. Колодязна, 9.</t>
  </si>
  <si>
    <t>м. Миколаїв, вул. Чкалова, 80.</t>
  </si>
  <si>
    <t>дошкільний навчальний заклад № 148 за адресою: м. Миколаїв, вул. Чкалова, 80.</t>
  </si>
  <si>
    <t xml:space="preserve"> м. Миколаїв, вул. Колодязна, 41.</t>
  </si>
  <si>
    <t>дошкільний навчальний заклад № 5 за адресою: м. Миколаїв, вул. Колодязна, 41.</t>
  </si>
  <si>
    <t>м. Миколаїв, вул. Лазурна,46.</t>
  </si>
  <si>
    <t>загальноосвітня школа  І-ІІІ ступенів № 57 за адресою: м. Миколаїв, вул. Лазурна,46.</t>
  </si>
  <si>
    <t>м. Миколаїв, вул. Космонавтів, 138-А.</t>
  </si>
  <si>
    <t>загальноосвітня школа  І-ІІІ ступенів № 56 за адресою: м. Миколаїв, вул. Космонавтів, 138-А.</t>
  </si>
  <si>
    <t>м. Миколаїв, вул. Оберегова (Гайдара), 1.</t>
  </si>
  <si>
    <t>загальноосвітня школа  І-ІІІ ступенів № 32 за адресою: м. Миколаїв, вул. Оберегова (Гайдара), 1.</t>
  </si>
  <si>
    <t>м. Миколаїв, вул. Потьомкінська, 154.</t>
  </si>
  <si>
    <t>загальноосвітня школа  І-ІІІ ступенів № 53 за адресою: м. Миколаїв, вул. Потьомкінська, 154.</t>
  </si>
  <si>
    <t xml:space="preserve"> м. Миколаїв, вул. Лазурна, 48.</t>
  </si>
  <si>
    <t>гімназія № 4 за адресою: м. Миколаїв, вул. Лазурна, 48.</t>
  </si>
  <si>
    <t>м. Миколаїв, вул. Мала Морська, 78.</t>
  </si>
  <si>
    <t>загальноосвітня школа  І-ІІІ ступенів № 4 за адресою: м. Миколаїв, вул. Мала Морська, 78.</t>
  </si>
  <si>
    <t>м. Миколаїв, вул. 4 Поздовжня, 58.</t>
  </si>
  <si>
    <t>загальноосвітня школа  І-ІІІ ступенів № 45 за адресою: м. Миколаїв, вул. 4 Поздовжня, 58.</t>
  </si>
  <si>
    <t>Капітальний ремонт в частині заміни вікон та вхідних дверей в під’їздах будинків</t>
  </si>
  <si>
    <t>м. Миколаїв, вул. Космонавтів, 130 А</t>
  </si>
  <si>
    <t>вул. Космонавтів, 130 А</t>
  </si>
  <si>
    <t>ФОП Канівченко В.Г.,ТОВ Голден-Буд</t>
  </si>
  <si>
    <t>м. Миколаїв, вул. Електронна, 56</t>
  </si>
  <si>
    <t>вул. Електронна, 56</t>
  </si>
  <si>
    <t>ФОП Канівченко В.Г.</t>
  </si>
  <si>
    <t>м. Миколаїв, вул. Електронна, 68</t>
  </si>
  <si>
    <t>вул. Електронна, 68</t>
  </si>
  <si>
    <t xml:space="preserve">м. Миколаїв, вул. Електронна, 70 </t>
  </si>
  <si>
    <t>вул. Електронна, 70</t>
  </si>
  <si>
    <t xml:space="preserve">м. Миколаїв, вул. Космонавтів, 140 Б </t>
  </si>
  <si>
    <t>вул. Космонавтів, 140 Б</t>
  </si>
  <si>
    <t>ФОП Канівченко В.Г., ТОВ Голден-Буд</t>
  </si>
  <si>
    <t>м. Миколаїв, вул. Космонавтів, 140</t>
  </si>
  <si>
    <t>вул. Космонавтів, 140</t>
  </si>
  <si>
    <t>ФОП Канівченко В.Г.,ФОП Ястреб Г.А.</t>
  </si>
  <si>
    <t>м. Миколаїв, вул. Космонавтів, 140 А</t>
  </si>
  <si>
    <t>вул. Космонавтів, 140 А</t>
  </si>
  <si>
    <t>м. Миколаїв, вул. Космонавтів, 140 В</t>
  </si>
  <si>
    <t>вул. Космонавтів, 140 В</t>
  </si>
  <si>
    <t>м. Миколаїв, пр. Миру, 23 А</t>
  </si>
  <si>
    <t>пр. Миру, 23 А</t>
  </si>
  <si>
    <t>м. Миколаїв, пр. Миру, 23 Б</t>
  </si>
  <si>
    <t>пр. Миру, 23 Б</t>
  </si>
  <si>
    <t>м. Миколаїв, вул. Миколаївська, 40</t>
  </si>
  <si>
    <t>вул. Миколаївська, 40</t>
  </si>
  <si>
    <t>м. Миколаїв, вул. Театральна, 47 А</t>
  </si>
  <si>
    <t>вул. Театральна, 47 А</t>
  </si>
  <si>
    <t>м. Миколаїв, вул. Погранична, 232</t>
  </si>
  <si>
    <t>вул. Погранична, 232</t>
  </si>
  <si>
    <t xml:space="preserve">м. Миколаїв, </t>
  </si>
  <si>
    <t>вул. 295-ї Стрілецької Дивізії, 75-а</t>
  </si>
  <si>
    <t>м. Миколаїв, вул. 295-ї Стрілецької Дивізії, 75-а</t>
  </si>
  <si>
    <t>вул. Космонавтів, 104</t>
  </si>
  <si>
    <t>м. Миколаїв, вул. Вінграновського, 56</t>
  </si>
  <si>
    <t>вул. Вінграновського, 56</t>
  </si>
  <si>
    <t>м. Миколаїв, пр. Миру, 54</t>
  </si>
  <si>
    <t>пр. Миру, 54</t>
  </si>
  <si>
    <t>пр. Миру, 56</t>
  </si>
  <si>
    <t>м. Миколаїв, пр. Миру, 56</t>
  </si>
  <si>
    <t>пр. Миру, 58</t>
  </si>
  <si>
    <t>м. Миколаїв, пр. Миру, 44</t>
  </si>
  <si>
    <t>пр. Миру, 44</t>
  </si>
  <si>
    <t>м. Миколаїв, вул. Театральна,51</t>
  </si>
  <si>
    <t>вул. Театральна,51</t>
  </si>
  <si>
    <t>м. Миколаїв, вул. 12 Поздовжня,47</t>
  </si>
  <si>
    <t>вул. 12 Поздовжня,47</t>
  </si>
  <si>
    <t>м. Миколаїв, вул. Космонавтів, 146 А</t>
  </si>
  <si>
    <t>вул. Космонавтів, 146 А</t>
  </si>
  <si>
    <t>м. Миколаїв, вул. Космонавтів, 146 В</t>
  </si>
  <si>
    <t>вул. Космонавтів, 146 В</t>
  </si>
  <si>
    <t>м. Миколаїв, вул. Космонавтів, 146 Б</t>
  </si>
  <si>
    <t>вул. Космонавтів, 146 Б</t>
  </si>
  <si>
    <t>м. Миколаїв, вул. Нагірна, 11</t>
  </si>
  <si>
    <t>вул. Нагірна, 11</t>
  </si>
  <si>
    <t>м. Миколаїв, пр. Миру, 60</t>
  </si>
  <si>
    <t>пр. Миру, 60</t>
  </si>
  <si>
    <t>м. Миколаїв, пр. Миру, 62</t>
  </si>
  <si>
    <t>пр. Миру, 62</t>
  </si>
  <si>
    <t>м. Миколаїв, вул. Космонавтів, 74</t>
  </si>
  <si>
    <t>вул. Космонавтів, 74</t>
  </si>
  <si>
    <t>м. Миколаїв, вул. Космонавтів, 74-а</t>
  </si>
  <si>
    <t>вул. Космонавтів, 74-а</t>
  </si>
  <si>
    <t>м. Миколаїв, вул. Новозаводська, 10</t>
  </si>
  <si>
    <t>вул. Новозаводська, 10</t>
  </si>
  <si>
    <t>м. Миколаїв, вул. Олійника, 30</t>
  </si>
  <si>
    <t>вул. Олійника, 30</t>
  </si>
  <si>
    <t>м. Миколаїв, вул. Олійника, 32</t>
  </si>
  <si>
    <t>вул. Олійника, 32</t>
  </si>
  <si>
    <t>м. Миколаїв, пр. Богоявленський, 35</t>
  </si>
  <si>
    <t>пр. Богоявленський, 35</t>
  </si>
  <si>
    <t>м. Миколаїв, вул. Космонавтів, 84</t>
  </si>
  <si>
    <t>вул. Космонавтів, 84</t>
  </si>
  <si>
    <t>м. Миколаїв, вул. Космонавтів, 86</t>
  </si>
  <si>
    <t>вул. Космонавтів, 86</t>
  </si>
  <si>
    <t xml:space="preserve">м. Миколаїв, вул. Космонавтів, 57 </t>
  </si>
  <si>
    <t xml:space="preserve">вул. Космонавтів, 57 </t>
  </si>
  <si>
    <t>м. Миколаїв, вул. В.Чорновола, 7</t>
  </si>
  <si>
    <t>вул. В.Чорновола, 7</t>
  </si>
  <si>
    <t>м. Миколаїв, вул. Вокзальна, 59</t>
  </si>
  <si>
    <t>вул. Вокзальна, 59</t>
  </si>
  <si>
    <t>м. Миколаїв, вул. Вокзальна, 61</t>
  </si>
  <si>
    <t>вул. Вокзальна, 61</t>
  </si>
  <si>
    <t>м. Миколаїв, вул. Райдужна, 55</t>
  </si>
  <si>
    <t>вул. Райдужна, 55</t>
  </si>
  <si>
    <t>м. Миколаїв, вул. Знаменська, 39</t>
  </si>
  <si>
    <t>вул. Знаменська, 39</t>
  </si>
  <si>
    <t>м. Миколаїв, вул. Знаменська, 51</t>
  </si>
  <si>
    <t>вул. Знаменська, 51</t>
  </si>
  <si>
    <t>м. Миколаїв, провул. Полярний, 2 В</t>
  </si>
  <si>
    <t>провул. Полярний, 2 В</t>
  </si>
  <si>
    <t>м. Миколаїв, пр. Корабелів, 8</t>
  </si>
  <si>
    <t>пр. Корабелів, 8</t>
  </si>
  <si>
    <t>м. Миколаїв, пр. Корабелів 6</t>
  </si>
  <si>
    <t>пр. Корабелів 6</t>
  </si>
  <si>
    <t>м. Миколаїв, пр. Корабелів, 4</t>
  </si>
  <si>
    <t>пр. Корабелів, 4</t>
  </si>
  <si>
    <t>м. Миколаїв, вул. Металургів,36-2</t>
  </si>
  <si>
    <t>вул. Металургів,36-2</t>
  </si>
  <si>
    <t>м. Миколаїв, вул. Металургів, 34</t>
  </si>
  <si>
    <t>вул. Металургів, 34</t>
  </si>
  <si>
    <t>м. Миколаїв, вул. Металургів, 32</t>
  </si>
  <si>
    <t>вул. Металургів, 32</t>
  </si>
  <si>
    <t>м. Миколаїв, вул. Молодогвардійська, 28 А</t>
  </si>
  <si>
    <t>вул. Молодогвардійська, 28 А</t>
  </si>
  <si>
    <t>м. Миколаїв, вул. Лазурна,6</t>
  </si>
  <si>
    <t>вул. Лазурна,6</t>
  </si>
  <si>
    <t>ФОП Канівченко В.Г.
ФОП Ястреб Г.А.</t>
  </si>
  <si>
    <t>м. Миколаїв, вул. Лазурна, 10 В</t>
  </si>
  <si>
    <t>вул. Лазурна, 10 В</t>
  </si>
  <si>
    <t>м. Миколаїв, вул. Крилова, 38</t>
  </si>
  <si>
    <t>вул. Крилова, 38</t>
  </si>
  <si>
    <t>м. Миколаїв, вул. Крилова, 48</t>
  </si>
  <si>
    <t>вул. Крилова, 48</t>
  </si>
  <si>
    <t>м. Миколаїв, вул. Крилова, 50 А</t>
  </si>
  <si>
    <t>вул. Крилова, 50 А</t>
  </si>
  <si>
    <t>м. Миколаїв, вул. Крилова, 52</t>
  </si>
  <si>
    <t>вул. Крилова, 52</t>
  </si>
  <si>
    <t>м. Миколаїв, вул. Озерна, 19 Б</t>
  </si>
  <si>
    <t>вул. Озерна, 19 Б</t>
  </si>
  <si>
    <t>м. Миколаїв, вул. Озерна, 19 В</t>
  </si>
  <si>
    <t>вул. Озерна, 19 В</t>
  </si>
  <si>
    <t>м. Миколаїв, вул. Київська, 4</t>
  </si>
  <si>
    <t>вул. Київська, 4</t>
  </si>
  <si>
    <t>м. Миколаїв, вул. Генерала Карпенка, 2/1</t>
  </si>
  <si>
    <t>вул. Генерала Карпенка, 2/1</t>
  </si>
  <si>
    <t>м. Миколаїв, вул. Курортна, 5</t>
  </si>
  <si>
    <t>вул. Курортна, 5</t>
  </si>
  <si>
    <t>м. Миколаїв, вул. Абрикосова, 5</t>
  </si>
  <si>
    <t>вул. Абрикосова, 5</t>
  </si>
  <si>
    <t>Капітальний ремонт в частині заміни вікон та вхідних дверей</t>
  </si>
  <si>
    <t>м. Миколаїв, вул. Крилова 12/6</t>
  </si>
  <si>
    <t>загальноосвітня школа І-ІІІ ст. № 17, вул. Крилова, 12/6, м. Миколаїв</t>
  </si>
  <si>
    <t>Капітальний ремонт з енергомодернізації загальноосвітня школа І-ІІІ ст. № 24 за адресою м. Миколаїв, вул. Лісова,1</t>
  </si>
  <si>
    <t>м. Миколаїв, вул. Лісова,1</t>
  </si>
  <si>
    <t>"Громадський бюджет"</t>
  </si>
  <si>
    <t xml:space="preserve">Капітальний ремонт з енергомодернізації </t>
  </si>
  <si>
    <t>ФОП Біла Т.О.</t>
  </si>
  <si>
    <t>"Теплий Миколаїв"</t>
  </si>
  <si>
    <t>ФОП Ігнатьєва Ю.О.
ФОП Біла Т.О.</t>
  </si>
  <si>
    <t>Капітальний ремонт вуличного освітлення</t>
  </si>
  <si>
    <t>м. Миколаїв, пр. Корабелів</t>
  </si>
  <si>
    <t>пр.Корабелів</t>
  </si>
  <si>
    <t>Капітальний ремонт з термомодернізацією</t>
  </si>
  <si>
    <t>м. Миколаїв, вул. Електронна,73</t>
  </si>
  <si>
    <t>загальноосвітня школа І-ІІІ ст. №42, вул. Електронна,73, м. Миколаїв</t>
  </si>
  <si>
    <t xml:space="preserve"> м. Миколаїв, вул. Айвазовського , 8</t>
  </si>
  <si>
    <t>загальноосвітня школа І-ІІІ ст. №1 О.Ольжича, вул. Айвазовського , 8, м. Миколаїв</t>
  </si>
  <si>
    <t>м. Миколаїв,  вул. Космнавтів, 128 А</t>
  </si>
  <si>
    <t>дитячий будинок творчості дітей та юнацтва, вул. Космнавтів, 128 А</t>
  </si>
  <si>
    <t xml:space="preserve">Капітальний ремонт системи опалення, вентиляції та кондиціонування </t>
  </si>
  <si>
    <t>м. Миколаїв,  пр. Богоявленський, 39-А</t>
  </si>
  <si>
    <t>концерт-хол "Юність", пр. Богоявленський, 39-А</t>
  </si>
  <si>
    <t>ФОП Ігнатьєва Ю.О.</t>
  </si>
  <si>
    <t>вул. Лазурна, 44</t>
  </si>
  <si>
    <t>54028
м. Миколаїв
вул. Космонавтів, 128А</t>
  </si>
  <si>
    <t xml:space="preserve">Будинок творчості дітей та юнацтва Інгульського району </t>
  </si>
  <si>
    <t>Дошкільний навчальний заклад № 50 «Дельфін» м.Миколаєва</t>
  </si>
  <si>
    <t>54020                              м. Миколаїв                        вул.Защука, 2А</t>
  </si>
  <si>
    <t>ФОП Залітко В.В.</t>
  </si>
  <si>
    <t>ТОВ "Нікпожтехсервіс"</t>
  </si>
  <si>
    <t>ТОВ "Фенікс Юг"</t>
  </si>
  <si>
    <t xml:space="preserve">м.Миколаїв,                                                                                          вул. Китобоїв, 3 </t>
  </si>
  <si>
    <t>ТОВ " Промбут 2 "</t>
  </si>
  <si>
    <t>54055
м. Миколаїв, вул.Погранична, 143</t>
  </si>
  <si>
    <t xml:space="preserve">технагляд по капітальному  ремонту будівлі  ЗОШ № 36 по вул.Погранична (Чигрина), 143 у м.Миколаєві                                               </t>
  </si>
  <si>
    <t>54003
м. Миколаїв, вул.Чкалова, 114</t>
  </si>
  <si>
    <t xml:space="preserve"> капітальний ремонт спортивного майданчику ЗОШ № 3 по вул. Чкалова, 114 у м.Миколаєві                                    </t>
  </si>
  <si>
    <t xml:space="preserve">технагляд по капітальному ремонту спортивного майданчику ЗОШ № 3 по вул. Чкалова, 114 в м.Миколаєві                                        </t>
  </si>
  <si>
    <t xml:space="preserve"> капітальний ремонт харчоблоку ЗОШ № 12 по вул. 1-й Екіпажний (Урицького), 2 у м.Миколаїв                                                </t>
  </si>
  <si>
    <t xml:space="preserve">технагляд по капітальному  ремонту харчоблоку ЗОШ № 12 по вул. 1-й Екіпажний (Урицького), 2 у м.Миколаїв                                       </t>
  </si>
  <si>
    <t>54056
м. Миколаїв
вул. Космонавтів, 70</t>
  </si>
  <si>
    <t xml:space="preserve">капітальний ремонт огорожі ЗОШ № 20 по вул. Космонавтів, 70 у м.Миколаєві                                                   </t>
  </si>
  <si>
    <t>ТОВ "Житлорембуд - Ніка"</t>
  </si>
  <si>
    <t>54030
м. Миколаїв
вул. Нікольська, 6</t>
  </si>
  <si>
    <t xml:space="preserve">капітальний ремонт покрівлі ЗОШ № 39 по вул. Нікольська, 6 у м.Миколаєві                                                       </t>
  </si>
  <si>
    <t>ТОВ "Автобіолюкс"</t>
  </si>
  <si>
    <t>54036
м. Миколаїв
вул. Олександра Матросова, 2</t>
  </si>
  <si>
    <t>корегування ПКД по проекту :Капітальний ремонт спортивного майданчику ЗОШ №61 по вул.Матросова,2 у м.Миколаєві</t>
  </si>
  <si>
    <t>вул.Погранична 45 м.миколавї</t>
  </si>
  <si>
    <t>Капітальний ремонт огорожі  ДЮСШ №3</t>
  </si>
  <si>
    <t>установка фіртону</t>
  </si>
  <si>
    <t>Капітальний ремонт футбольного майданчика із штучним покритям ДЮСШ №3</t>
  </si>
  <si>
    <t>установлення освітлення та  штучного покриття</t>
  </si>
  <si>
    <t>вул.Світанкова 1 м.Миколаїв</t>
  </si>
  <si>
    <t>Капітальний ремонт трибун дворового туалету  та госпордарських приміщень  стадіону " Колос" ДЮСШ №3</t>
  </si>
  <si>
    <t>монтування  трибун, доріжок та туалету</t>
  </si>
  <si>
    <t>вул.Олійника 11а м.Миколаїв</t>
  </si>
  <si>
    <t>Капітальний ремонт приміщення СДЮШОР №6</t>
  </si>
  <si>
    <t>ремонт спортивної зали та роздягалень</t>
  </si>
  <si>
    <t>вул.Скульптора Ізмалкова 132а м.Миколаїв</t>
  </si>
  <si>
    <t>Капітальний ремонт частини будівлі ДЮСШ №7</t>
  </si>
  <si>
    <t>утеплення стін, ремонт даху,</t>
  </si>
  <si>
    <t>вул.2 Екіпажна  245 м.Миколаїв</t>
  </si>
  <si>
    <t>Капітальний ремонт веслувальної бази спортивної зали ШВСМ</t>
  </si>
  <si>
    <t>заміна електроосвітлення,водосточних труб,улаштування підлоги та кокрівлі,внутрішне опорядження,зовнішне оздоблення.</t>
  </si>
  <si>
    <t xml:space="preserve"> на футбольмоу полі установлення табло,навісу, трибун,  перенесення щита ЩС-0,4кВ,установка зовнішнього контуру заземлення,енергозабезпечення насосоної, дренаж  поля, зливна  каналізація, поливочний водопровід,</t>
  </si>
  <si>
    <t>пр.Героїв України 2/4 м.Миколаїв</t>
  </si>
  <si>
    <t>Будівництво спортивного майданчика КДЮСШ "Комунарівець"за адресою пр.Героїв України 2/4 в м.Миколаєві в т.ч. проектні роботи та експертиза</t>
  </si>
  <si>
    <t>укладання штучного покриття</t>
  </si>
  <si>
    <t>кап.післяек.рем.вуз.та обл.ліфт.ж/б в.8 Березня,71(п.1,п.2,п.3,п.4) м.Мик.</t>
  </si>
  <si>
    <t xml:space="preserve"> </t>
  </si>
  <si>
    <t>кап.рем. ж/б по вул.Заводська,1, корп.,2 м.Мик.</t>
  </si>
  <si>
    <t>кап.рем.м"як.покр.ж/б по вул.Космонавт.,138-г м.Мик.</t>
  </si>
  <si>
    <t xml:space="preserve">ТОВ "Проект-Комплект Строй"   </t>
  </si>
  <si>
    <t>ПКД та пров.експ.з посл.відш.вит. К.р.покр.ж/б в.Нікольс.16/18м.Мик.</t>
  </si>
  <si>
    <t>кап.рем.гуртожитку по пр.Богоявленс.,309 м.Мик.</t>
  </si>
  <si>
    <t>кап.рем.покр.6-ти під.9-ти пов.ж/б пров.Парусний11, м.Мик.</t>
  </si>
  <si>
    <t>ПКД Кап.рем.ел.мереж багатокв.ж/б в.Шосейна,58 м.Мик.</t>
  </si>
  <si>
    <t>ПКД Кап.рем.ел.мереж багатокв.ж/б в.Озерна,12 м.Мик.</t>
  </si>
  <si>
    <t>ПКД та пров.експ.Кап.рем.покр.ж/б в.Новобудівна,1 м.Мик.</t>
  </si>
  <si>
    <t>ПКД Кап.рем.сист.зовн.каналіз.ж/б в.Адмір.Макарова,16 м.Мик.</t>
  </si>
  <si>
    <t xml:space="preserve">ТОВ"Ніковіта-Сервіс" </t>
  </si>
  <si>
    <t>ПКД "Модерніз.вузл.та облад.ліфт.ж/б в.Декабристів,25(п.1) м.Мик.</t>
  </si>
  <si>
    <t>ПКД та пров.експ.Кап.рем.покр.ж/б в.Чкалова,212-А м.Мик.</t>
  </si>
  <si>
    <t>ПКД та пров.експ.Кап.рем.покр.ж/б в.Сінна,33-Б м.Мик.</t>
  </si>
  <si>
    <t>ПКД та пров.експ.Кап.рем.покр.ж/б в.Чкалова,212-Б м.Мик.</t>
  </si>
  <si>
    <t>ПКД та пров.експ.Кап.рем.м"як.покр.ж/б в.Космонавт.,138-Г м.Мик.</t>
  </si>
  <si>
    <t>ПКД та пр.експ.Кап.рем.м"як.покр.ж/б пр.Корабелів,5 м.Мик.</t>
  </si>
  <si>
    <t>кап.рем.покрівлі ж/б по пр.Богоявленс.,39 м.Мик.</t>
  </si>
  <si>
    <t>кап.рем.покрівлі ж/б по в.Адміральська,12 м.Мик.</t>
  </si>
  <si>
    <t>кап.рем.покрівлі ж/б по пр.Миру,25-А м.Мик.</t>
  </si>
  <si>
    <t>кап.рем.вуз.та обл.ліфт. ж/б вул.12Поздовжня,3(п.1) м.Мик.</t>
  </si>
  <si>
    <t>кап.рем.вуз.та обл.ліфт. ж/б вул.Казарського,5-а(п.2) м.Мик.</t>
  </si>
  <si>
    <t>кап.рем.вуз.та обл.ліфт. ж/б вул.Новозаводс.,2-а(л.А) м.Мик.</t>
  </si>
  <si>
    <t xml:space="preserve">Технагляд </t>
  </si>
  <si>
    <t>кап.рем.м.зов.ос.пер.пр.Бог. в.Мет,в.Ок,в.Пр,в.Тор,в.Нов,пр.Б.м.Мик.</t>
  </si>
  <si>
    <t>ТОВ "ГАЛЕД Україна"</t>
  </si>
  <si>
    <t>кап.рем.м.зов.ос.пер.пр.Бог. в.Мет,в.Ок,в.Пр,в.Тор,в.Нов,пр.Б.м.Мик.;</t>
  </si>
  <si>
    <t>кап.рем.м.зов.ос.пер.пр.Цен. в.Б,в.П,в.Ф,в.Д,в.С,в.Мос,в.М.Мор.в.Ін.мМик</t>
  </si>
  <si>
    <t>пкд К.р.м.з.ос.пер. пр.Цен,в.Буз. в.Пуш.в.Фал.в.Дек.в.Соб.в.Мос.в.М.Мор.в.Інж. м.Мик</t>
  </si>
  <si>
    <t xml:space="preserve">ТОВ "Проект-Комплект Строй" </t>
  </si>
  <si>
    <t>Авт.К.р.м.з.ос.пер. пр.Цен,в.Буз. в.Пуш.в.Фал.в.Дек.в.Соб.в.Мос.в.М.Мор.в.Інж. м.Мик</t>
  </si>
  <si>
    <t>Авт.наг.К.р.м.з.ос.пер.пр.Бог. в.Мет,в.Ок,в.Пр,в.Тор,в.Ост.В.,пр.Бал.м.Мик.</t>
  </si>
  <si>
    <t xml:space="preserve">ТОВ "Проект-Комплект" </t>
  </si>
  <si>
    <t>ПКД та пров.екс.з відш.витр. Кап.р.мер.зов.осв. в.Ост.Виш, в.в.Янт.до в.Стан.в Кор.р. м.Мик.</t>
  </si>
  <si>
    <t xml:space="preserve">ТОВ "Светолюкс-Електромонтаж" </t>
  </si>
  <si>
    <t>кап.рем.окр.вуз.обл.тепл.ввод.ж/б вул.Крилова,13 м.Мик.</t>
  </si>
  <si>
    <t xml:space="preserve">Югтепломер-Сервіс </t>
  </si>
  <si>
    <t>кап.рем.окр.вуз.обл.тепл.ввод.ж/б вул.Декабристів,4м.Мик.</t>
  </si>
  <si>
    <t>кап.рем.окр.вуз.обл.тепл.ввод.ж/б вул.Ходирєва,16 м.Мик.</t>
  </si>
  <si>
    <t xml:space="preserve">ТОВ "НІК-ИНСЕРВІС" </t>
  </si>
  <si>
    <t>ПКД та пр.експ.з відш.Кап.рем.окр.вуз.обл.тепл.вводу в ж/б м.Мик.</t>
  </si>
  <si>
    <t>ФОП Мігунова І.І.</t>
  </si>
  <si>
    <t>МКП "Миколаївводоканал"</t>
  </si>
  <si>
    <t>кориг.ПКД та пр.екс.з відш.вит."Нове буд.світл.об.в м.Мик.в.Троїцькій ріг в.Новозав."</t>
  </si>
  <si>
    <t xml:space="preserve">ПП "Зодчий" </t>
  </si>
  <si>
    <t>кориг.ПКД та пр.екс.з відш.вит."Нове буд.світл.об.в м.Мик.в.Космонавт.ріг в.Турбін."</t>
  </si>
  <si>
    <t xml:space="preserve">ПрАТ"БК ЖИТЛОПРОМБУД-8"  </t>
  </si>
  <si>
    <t>лік.нас.під.с.Гор.-будівн.др.к. д.зах.в.під.с.Гор.м.Мик.</t>
  </si>
  <si>
    <t>Реконструкція житлового будинку по вул.Айвазовського,3 у м.Миколаєві, у тому числі коригування проектно-кошторисної документації та експертиза</t>
  </si>
  <si>
    <t>КП МКП "Капітальне будівництво міста Миколаєва"</t>
  </si>
  <si>
    <t xml:space="preserve">Інформація про виконання капітальних  ремонтів, будівництва, реконструкції, реставрації доріг, внутрішньоквартальних проїздів, дахів, будівель і споруд та ін. за 2018 рік по міському бюджету м. Миколаєва в розрізі головних розпорядників коштів </t>
  </si>
  <si>
    <t>ФОП Петрушклв А.Є.</t>
  </si>
  <si>
    <t>Пляжній зоні біля яхт-клубу у Корабельному районі</t>
  </si>
  <si>
    <t>Капітальний ремонт спортивного майданчику на пляжній зоні біля яхт-клубу у Корабельному районі м. Миколаєва</t>
  </si>
  <si>
    <t>ПП "СТЕГ"</t>
  </si>
  <si>
    <t xml:space="preserve"> вул. Металургів, 28</t>
  </si>
  <si>
    <t>Капітальний ремонт спортивного майданчика по вул. Металургів, 28 у Корабельному районі м. Миколаєва</t>
  </si>
  <si>
    <t>ФОП Ваховський М.О. (проектно-кошторисна документація)</t>
  </si>
  <si>
    <t>вул. Океанівська, 34</t>
  </si>
  <si>
    <t>Капітальний ремонт огорожі спортивного майданчика по вул. Океанівській, 34 у Корабельному районі м. Миколаєва</t>
  </si>
  <si>
    <t>біля спорт-комплексу «Водолій»</t>
  </si>
  <si>
    <t>Капітальний ремонт міні-стадіону на території містечка спорту «Корабельний» біля спорт-комплексу «Водолій» у м. Миколаєві</t>
  </si>
  <si>
    <t>ТОВ "УРБАН-КОНСТРАКТ" (проектно-кошторисна документація)</t>
  </si>
  <si>
    <t>мкрн. Богоявленський</t>
  </si>
  <si>
    <t>Капітальний ремонт спортивного майданчика в мкрн. Богоявленський, Корабельного району м. Миколаєва</t>
  </si>
  <si>
    <t>вул. Райдужна 43, 45</t>
  </si>
  <si>
    <t>Капітальний ремонт дитячого майданчику по вул. Райдужній 43, 45 у Корабельному районі м. Миколаєва</t>
  </si>
  <si>
    <t>ФОП Фолтін В.Б.</t>
  </si>
  <si>
    <t>ФОП Гончаренко А.А.</t>
  </si>
  <si>
    <t>ТОВ "МАКРОМИР-ПРОЕКТ" (проектно-кошторисна документація)</t>
  </si>
  <si>
    <t>вул. Райдужна, 34</t>
  </si>
  <si>
    <t>Капітальний ремонт внутрішньоквартального проїзду по вул. Райдужна, 34 у Корабельному районі м. Миколаєва</t>
  </si>
  <si>
    <t>ФОП Басиста Т.А.</t>
  </si>
  <si>
    <t>пр. Богоявленський, 316, 318, 318/1, 322</t>
  </si>
  <si>
    <t>Капітальний ремонт внутрішньо квартальних проїздів по пр. Богоявленському, 316, 318, 318/1, 322 в м. Миколаєві</t>
  </si>
  <si>
    <t>пр. Корабелів вздовж будинків №12, 12-а, 12-в, 12/1, 16/1</t>
  </si>
  <si>
    <t>Капітальний ремонт внутрішньо квартальних проїздів від  пр. Корабелів вздовж будинків №12, 12-а, 12-в, 12/1, 16/1 у Корабельному районі м. Миколаєва</t>
  </si>
  <si>
    <t>пр. Корабелів вздовж будинку №10-а до гімназії №3 з тротуаром вздовж ЗОШ №54</t>
  </si>
  <si>
    <t>Капітальний ремонт внутрішньо квартальних проїздів від  пр. Корабелів вздовж будинку №10-а до гімназії №3 з тротуаром вздовж ЗОШ №54 у Корабельному районі м. Миколаєва</t>
  </si>
  <si>
    <t>пр. Корабелів вздовж будинків №2 по пр. Корабелів №7</t>
  </si>
  <si>
    <t>Капітальний ремонт внутрішньо квартальних проїздів від будинку №2-а по пр. Корабелів вздовж будинків №2 по пр. Корабелів і №7 по вул. Айвазовського у Корабельному районі м. Миколаєва</t>
  </si>
  <si>
    <t xml:space="preserve">вул. Ген. Попеля від вул. Л. Українки до вул. Пшеніцина </t>
  </si>
  <si>
    <t>Капітальний тротуару по вул. Генерала Попеля від вул. Лесі Українки до вул. Пшеніцина у Корабельному районі м. Миколаєва</t>
  </si>
  <si>
    <t>вул. Вокзальна 49, 51</t>
  </si>
  <si>
    <t>Капітальний ремонт тротуару по вул. Вокзальна 49, 51 у Корабельному районі м. Миколаєва</t>
  </si>
  <si>
    <t>вул. Райдужна 36, 38</t>
  </si>
  <si>
    <t>Капітальний ремонт тротуару по вул. Райдужній 36, 38 у Корабельному районі м. Миколаєва</t>
  </si>
  <si>
    <t>пр. Богоявленський від вул. Новобудівної до вул. Остапа Вишні (парна сторона)</t>
  </si>
  <si>
    <t>Капітальний ремонт тротуарної частини по пр. Богоявленському від вул. Новобудівної до вул. Остапа Вишні (парна сторона) в  Корабельному районі м. Миколаєва</t>
  </si>
  <si>
    <t>ФОП Григоренко Д.С. (проектно-кошторисна документація)</t>
  </si>
  <si>
    <t>пр. Богоявленський від вул. О. Ольжича до спортивного містечка «Корабельний»</t>
  </si>
  <si>
    <t>Капітальний ремонт тротуару по пр. Богоявленському від вул. О. Ольжича до спортивного містечка «Корабельний» у Корабельному районі м. Миколаєва</t>
  </si>
  <si>
    <t>вул. Г. Сагайдачного від пр. Богоявленського до ЗОШ №29</t>
  </si>
  <si>
    <t>Капітальний ремонт тротуару по вул. Г. Сагайдачного від пр. Богоявленського до ЗОШ №29 у Корабельному районі м. Миколаєва</t>
  </si>
  <si>
    <t>ТОВ "Светлолюкс-Электромонтаж" (проектно-кошторисна документація)</t>
  </si>
  <si>
    <t>вул. Степова, зупинка «Єсеніна» (парна сторона)</t>
  </si>
  <si>
    <t>Зупинний павільйон громадського транспорту по парній стороні вул. Степовій у м. Миколаєві, зупинка «Єсеніна» (капітальний ремонт)</t>
  </si>
  <si>
    <t>Капітальний ремонт зупинок громадського транспорту</t>
  </si>
  <si>
    <t>вул. Степова, зупинка «Єсеніна» (непарна сторона)</t>
  </si>
  <si>
    <t>Зупинний павільйон громадського транспорту по непарній стороні вул. Степовій у м. Миколаєві, зупинка «Єсеніна» (капітальний ремонт)</t>
  </si>
  <si>
    <t>пр. Богоявленський  (непарна сторона) в районі вул. Прибузької</t>
  </si>
  <si>
    <t>Зупинний навіс для пасажирів громадського транспорту по пр. Богоявленському  (непарна сторона) в районі вул. Прибузької в Корабельному районі м. Миколаєва (капітальний ремонт)</t>
  </si>
  <si>
    <t>пр. Богоявленський у районі головного входу на кладовище</t>
  </si>
  <si>
    <t>Зупинний навіс для пасажирів громадського транспорту по пр. Богоявленському у районі головного входу на кладовище в Корабельному районі м. Миколаєва (капітальний ремонт)</t>
  </si>
  <si>
    <t>вул. Айвазовського</t>
  </si>
  <si>
    <t>Капітальний ремонт зупинки громадського транспорту «Ліцей» по вул. Айвазовського в Корабельному районі м. Миколаєва</t>
  </si>
  <si>
    <t>Капітальний ремонт дорожнього покриття приватного сектору по вул. Єсеніна від №77 до вул. Фруктової у Корабельному районі м. Миколаєва</t>
  </si>
  <si>
    <t>Капітальний ремонт дорожнього одягу дороги по вул. Галицинівській від буд.№50 до вул. Лесі Українки в м. Миколаєві (І пусковий комплекс)</t>
  </si>
  <si>
    <t>Капітальний ремонт дорожнього покриття приватного сектору по пров. 2-й Братський у Корабельному районі м. Миколаєва</t>
  </si>
  <si>
    <t>Капітальний ремонт дорожнього покриття приватного сектору по вул. Рибна від вул. Янтарної до вул. Торгової у Корабельному районі м. Миколаєва</t>
  </si>
  <si>
    <t>пров. М. Рибальченко від вул. Кобзарської до №60</t>
  </si>
  <si>
    <t>Капітальний ремонт дорожнього покриття приватного сектору по пров. М.Рибальченко від вул. Кобзарської до №60 по вул. Адм. Ушакова у Корабельного районі м. Миколаєва</t>
  </si>
  <si>
    <t>пров. М.Рибальченко від вул. Кобзарської до №2</t>
  </si>
  <si>
    <t>Капітальний ремонт дорожнього покриття приватного сектору по пров. М.Рибальченко від вул. Кобзарської до №2 у Корабельного районі м. Миколаєва</t>
  </si>
  <si>
    <t>вул. Торгова ріг вул. Рильського</t>
  </si>
  <si>
    <t>Капітальний ремонт дорожнього покриття приватного сектору по вул. Торгова ріг вул. Рильського у Корабельному районі м. Миколаєва</t>
  </si>
  <si>
    <t xml:space="preserve">вул. Волгоградська від пр. Богоявленського до вул. Рибної </t>
  </si>
  <si>
    <t>Капітальний ремонт дорожнього покриття приватного сектору по вул. Волгоградська від пр. Богоявленського до вул. Рибної у Корабельному районі м. Миколаєва</t>
  </si>
  <si>
    <t>вул. Рибна від вул. Торгової до причалу №13</t>
  </si>
  <si>
    <t>Капітальний ремонт дорожнього покриття приватного сектору по вул. Рибній від вул. Торгової до причалу №13 у Корабельному районі м. Миколаєва</t>
  </si>
  <si>
    <t>ТОВ "АрхСіті"</t>
  </si>
  <si>
    <t>Управління капітального будівництва ММР</t>
  </si>
  <si>
    <t>М.Миколаїв вул. Сінна (Будьоного),74</t>
  </si>
  <si>
    <t xml:space="preserve"> Будинок інваліда війни Васильєва В.Ф.</t>
  </si>
  <si>
    <t>ТОВ "Фаворит - Люкс"</t>
  </si>
  <si>
    <t>м.Миколаїв вул. Лазурна, 16 Г,кв.14</t>
  </si>
  <si>
    <t>Квартира інваліда війни Волошина В.І.</t>
  </si>
  <si>
    <t>ТОВ "Миколаївбуд"</t>
  </si>
  <si>
    <t>м. Миколаїв, вул. 2Екіпажна,4</t>
  </si>
  <si>
    <t>Капітальний ремонт захисної споруди міської лікарні №1</t>
  </si>
  <si>
    <t>ТОВ "Інвестбуд" ; КП ММР "Капітальне будівництво"; ТОВ "Автограф-Н"</t>
  </si>
  <si>
    <t>м.Миколаїв                     вул. Будівельників,8</t>
  </si>
  <si>
    <t xml:space="preserve">Реконструкція системи опалення з встановленням електричних котлів потужністю 360 кВт в Міському пологовому будинку №2 по вул. Будівельників,8 у м. Миколаєві, у тому числі проектно-кошторисна документація та експертиза </t>
  </si>
  <si>
    <t>ТОВ "Надія-ТВ"</t>
  </si>
  <si>
    <t>ТОВ "Миколаївськбуд"";  КП ММР " Капітальне будівництво"</t>
  </si>
  <si>
    <t>ТОВ "Компанія Нікон-Буд"; ФОП Парулава Є.З.</t>
  </si>
  <si>
    <t>вул.Погранячна 45 м.Миколаїв</t>
  </si>
  <si>
    <t>Капітальний ремонт -замощенняДЮСШ №3</t>
  </si>
  <si>
    <t xml:space="preserve"> демонтаж та монтаж  тротуарної плитки</t>
  </si>
  <si>
    <t>ТОВ "ПИКМОНТАЖ"</t>
  </si>
  <si>
    <t>ТОВ "Компанія Нікон-Буд";    КП ММР "Капітальне будівництво"</t>
  </si>
  <si>
    <t>ТОВ " ЕЛІТБУДГАРАНТ"</t>
  </si>
  <si>
    <t>ПВКФ "Нікотерм"</t>
  </si>
  <si>
    <t>ФОП Павлінов Ю.О. ТОВ  буд компанія "Контакт-жилбуд", КТММР "Капітальне будівництво"</t>
  </si>
  <si>
    <t>ПП "Реалбудсервіс-транс":  КП ММР  "Капітальне будівництво"</t>
  </si>
  <si>
    <t>вул.спортивна 11 м.Миколаїв</t>
  </si>
  <si>
    <t>Реконструкція елінгу №1 ДЮСШ №2 з надбудовою спортивного залу  за адресою вул. Спортивна 11 в м.Миколаєві  у т.ч. проектні роботи та експертиза</t>
  </si>
  <si>
    <t xml:space="preserve">земельні роботи, кладка наружних стін, наружне оздоблення, кладка  перегородок,  стяжка пола, внутрішня  обробка,  монолітне перекритя </t>
  </si>
  <si>
    <t>ПП БК " Глиноземпромбуд"</t>
  </si>
  <si>
    <t>Реставрація  будівлі СДЮШОР з фехтування(заміна системи опалення)  по вул.Пушкінська11  в м.Миколаїві в т.ч. проетні роботи та експертиза</t>
  </si>
  <si>
    <t>ПАТ "Будівельна компанія Житпопромбуд-8"</t>
  </si>
  <si>
    <t>капітальний ремонт асфальтового покриття прибудинкових територій та внутрішньоквартальних проїздів вул. Велика Морська, 5А,17А</t>
  </si>
  <si>
    <t>ТОВ АРХСІТІ</t>
  </si>
  <si>
    <t>екпертиза ПКД</t>
  </si>
  <si>
    <t xml:space="preserve">ФОП Литвиненко Аліна Олегівна </t>
  </si>
  <si>
    <t>капітальний ремонт асфальтового покриття прибудинкових територій та внутрішньоквартальних проїздів  вул.Чкалова,112</t>
  </si>
  <si>
    <t>ТОВ АРХСІТІ(41432591)</t>
  </si>
  <si>
    <t>ФОП Дейнеко І.В.</t>
  </si>
  <si>
    <t xml:space="preserve">вздовж будинків №3, 3-А по вул. Соборній та будинку №65 по вул. Велика Морська у Центральному районі м. Миколаєва" </t>
  </si>
  <si>
    <t xml:space="preserve">капітальний ремонт дорожнього покриття внутрішньоквартального проїзду вздовж будинків №3, 3-А по вул. Соборній та будинку №65 по вул. Велика Морська у Центральному районі м. Миколаєва" </t>
  </si>
  <si>
    <t>проектно-кошторисна документація, експертиза</t>
  </si>
  <si>
    <t>ФОП Чудаков І.В.</t>
  </si>
  <si>
    <t>експертиза ПКД</t>
  </si>
  <si>
    <t>ФОП Царюк С.І.</t>
  </si>
  <si>
    <t>ФОП Марущенко Аліна Артаваздівна</t>
  </si>
  <si>
    <t>ФОП Дейнеко І. В.</t>
  </si>
  <si>
    <t>Капітальний ремонт( попередня оплата за матеріали)</t>
  </si>
  <si>
    <t xml:space="preserve">Капітальний ремонт дорожнього покриття внутрішньоквартального проїзду вздовж будинку №152 по пр. Центральний у Центральному районі м. Миколаєва" </t>
  </si>
  <si>
    <t xml:space="preserve">Послуги з розробки проектної док.та прох. експерт.проєктної документації  по об'єкту Кап.ремонт дорожнього покриття внутрішньоквартвльного проїзду  від б.18 до б.18-а по вул.Нікольська   Центральному районі м. Миколаєва </t>
  </si>
  <si>
    <t xml:space="preserve">”Капітальний ремонт дорожнього покриття внутрішньоквартального проїзду вздовж будинку №81 по вул. Шевченка у Центральному районі м. Миколаєва” </t>
  </si>
  <si>
    <t>ФОП Симонян Сергій Артаваздович</t>
  </si>
  <si>
    <t xml:space="preserve">”Капітальний ремонт дорожнього покриття внутрішньоквартального проїзду вздовж будинку №89 по вул. Безіменна у Центральному районі м. Миколаєва” </t>
  </si>
  <si>
    <t>ФОП Ваховський М.О.</t>
  </si>
  <si>
    <t>Капітальний ремонт дорожного покриття внутрішньоквартального проїзду вздовж будинків №116,118 по вул.Чкалова у Центральному районі м.Миколаєва</t>
  </si>
  <si>
    <t>Капітальний ремонт дорожного покриття внутрішньоквартального проїзду вздовж будинку  №2 по вул.Декабристів у Центральному районі м.Миколаєва</t>
  </si>
  <si>
    <t>"Капітальний ремонт дорожнього покриття внутрішньоквартального проїзду вздовж будинку №5 по вул. Потьомкінській у Центральному районі м. Миколаєва</t>
  </si>
  <si>
    <t>”Капітальний ремонт дорожнього покриття внутрішньоквартального проїзду вздовж будинків №21 по вул. Декабристів у Центральному районі м. Миколаєва"</t>
  </si>
  <si>
    <t>”Капітальний ремонт дорожнього покриття внутрішньоквартального проїзду вздовж будинку №16 по вул. Шевченка у Центральному районі м. Миколаєва” перенос на 2019</t>
  </si>
  <si>
    <t>ТОВ Дориндустрия</t>
  </si>
  <si>
    <t xml:space="preserve">”Капітальний ремонт дорожнього покриття внутрішньоквартального проїзду вздовж будинку№94 по проспекту Центральному та будику №17по вул.Інженерна у Центральному районі м. Миколаєва” </t>
  </si>
  <si>
    <t xml:space="preserve">”Капітальний ремонт дорожнього покриття внутрішньоквартального проїзду вздовж будинків №19,21  по вул.Адміральська у Центральному районі м. Миколаєва” </t>
  </si>
  <si>
    <t>ФОП Царюк Світлана Володимирівна</t>
  </si>
  <si>
    <t>ФОП Антонян Михайло Сергійович</t>
  </si>
  <si>
    <t>пров.2 ПівнічнійЦентральному районі м.Миколаєва</t>
  </si>
  <si>
    <t>Капітальний ремонт дороги приватного сектору по пров.2 ПівнічнійЦентральному районі м.Миколаєва</t>
  </si>
  <si>
    <t xml:space="preserve"> вул.Шевченка від вул.Мала Морська до вул.Громадянська у Центральному районі м.Миколаїва</t>
  </si>
  <si>
    <t>Капітальний ремонт дорожнього покриття приватного сектору по вул.Шевченка від вул.Мала Морська до вул.Громадянська у Центральному районі м.Миколаїва</t>
  </si>
  <si>
    <t xml:space="preserve">по вул. 1 Екіпажна від вул. Гречишникова до вул. 5 Воєнна у Центральному районі м. Миколаєва" </t>
  </si>
  <si>
    <t xml:space="preserve"> "Капітальний ремонт дорожнього покриття приватного сектору по вул. 1 Екіпажна від вул. Гречишникова до вул. 5 Воєнна у Центральному районі м. Миколаєва" </t>
  </si>
  <si>
    <t xml:space="preserve"> вул. 9Воєнна від вул. 2Екіпажна до вул. Теслярська у Центральному районі м. Миколаєва" </t>
  </si>
  <si>
    <t xml:space="preserve"> "Капітальний ремонт дорожнього покриття приватного сектору по вул. 9Воєнна від вул. 2Екіпажна до вул. Теслярська у Центральному районі м. Миколаєва" </t>
  </si>
  <si>
    <t xml:space="preserve"> "Капітальний ремонт дорожнього покриття приватного сектору по пров.Ентузіастів у Центральному районі м. Миколаєва" (Депутатскі кошти 40 000 грн.)частково)</t>
  </si>
  <si>
    <t>Капітальний ремонт дорожного покриття приватного сектору по вул.Світанкова у Центральному районі м.Миколаєва</t>
  </si>
  <si>
    <t>Капітальний ремонт дороги приватного сектору по проїзду Інгульському у Центральному районі м.Миколаєва</t>
  </si>
  <si>
    <t>Капітальний ремонт доржнього покриття приватного сектору по вул.Врожайна від вул.Очаківська до пров.Очаківський у Центральному районі м.Миколаєва</t>
  </si>
  <si>
    <t xml:space="preserve"> ”Капітальний ремонт дорожнього покриття приватного сектору по вул. Травнева у Центральному районі м. Миколаєва” </t>
  </si>
  <si>
    <t>Капітальний ремонт дороги приватного сектору по вул. Ходченко від вул. О. Матросова до вул. Північної у Центральному районі м. Миколаєва”</t>
  </si>
  <si>
    <t>ТОВ "Архітектурно-будівельна компанія "АрхСіті"</t>
  </si>
  <si>
    <t>”Капітальний ремонт дороги приватного сектору по вул. 2 Піщана від буд. №24 до буд. №42 у Центральному районі м. Миколаєва”</t>
  </si>
  <si>
    <t>”Капітальний ремонт дороги приватного сектору по вул. Ізмайлівська від Веселинівська до пров. Очаківського у Центральному районі м. Миколаєва”</t>
  </si>
  <si>
    <t xml:space="preserve"> ”Капітальний ремонт дороги приватного сектору по вул. 1 Піщана від буд. №76 до буд. №104 у Центральному районі м. Миколаєва”</t>
  </si>
  <si>
    <t>”Капітальний ремонт дороги приватного сектору по вул. Чуйкова від буд. №49 до буд. №75 у Центральному районі м. Миколаєва”</t>
  </si>
  <si>
    <t xml:space="preserve"> ”Капітальний ремонт дороги приватного сектору по вул. Софіївська від буд. №77 до буд. №117 у Центральному районі м. Миколаєва”</t>
  </si>
  <si>
    <t>”Капітальний ремонт дороги приватного сектору по вул. 1-а Екіпажна від вул. 5-а Воєнна до вул. Маршала Малиновського у Центральному районі м. Миколаєва”</t>
  </si>
  <si>
    <t>Потьомкінська</t>
  </si>
  <si>
    <t>облаштування розумної зупинки та скверу по вул.Потьомкінська</t>
  </si>
  <si>
    <t>ТОВ"Агрофон- Проект"</t>
  </si>
  <si>
    <t>ФОП Дейнеко ІВ.</t>
  </si>
  <si>
    <t>ТОВ"НИК-БУД"</t>
  </si>
  <si>
    <t>Капітальний ремонт, облаштування прибудинкової території житлових будинків по вул.Колодязьній,вул.Потьмокінській м.Миколаєва</t>
  </si>
  <si>
    <t>ФОП Ваховський</t>
  </si>
  <si>
    <t>ТОВ "МЕГА-СПЛИТ"</t>
  </si>
  <si>
    <t>Капітальний ремонт,облаштування прибудинкової території житлових будинків по в.3Слобідській,в.6 Слобідській м.Миколаєва</t>
  </si>
  <si>
    <t>ТОВ "Рента-Н"</t>
  </si>
  <si>
    <t>Капітальний ремонт, облаштування прибудинкової території житлових будинків по просп.Героїв України м.Миколаєва</t>
  </si>
  <si>
    <t>ТОВ САНСЕТ АВТО</t>
  </si>
  <si>
    <t xml:space="preserve">Капітальний ремонт, облаштування прибудинкової території житлових будинків по вул. Архітектора Старова, пров. Парусного </t>
  </si>
  <si>
    <t>ТОВ "ВЕРІТАСС-ЮГ"</t>
  </si>
  <si>
    <t>"Капітальний ремонт мереж зовнішнього освітлення по пров. Фінському та пров. Корабельному  у Центральному районі м. Миколаєва Миколаївської області"</t>
  </si>
  <si>
    <t>ТОВ"Светолюкс-Єлектромонтаж</t>
  </si>
  <si>
    <t xml:space="preserve">"Розвиток футболу в м. Миколаєві. Створення (капітальний ремонт) спортивного майданчика для фізичного розвитку дітей та дорослих. Місто Миколаїв, вулиця Колодязна, 35" </t>
  </si>
  <si>
    <t>Вул. Адміральська, 20</t>
  </si>
  <si>
    <t>капітальний ремонт водопостачання, водовідведення, опалення в приміщенні їдальні</t>
  </si>
  <si>
    <t>ТОВ Південьгідробуд</t>
  </si>
  <si>
    <t>технагляд за капітальний ремонт водопостачання, водовідведення, опалення в приміщенні їдальні</t>
  </si>
  <si>
    <t>ФОП Масляєв</t>
  </si>
  <si>
    <t>капітальний ремонт в приміщенні їдальні</t>
  </si>
  <si>
    <t>технагляд за капітальний ремонт в приміщенні їдальні</t>
  </si>
  <si>
    <t>капітальний ремонт приміщень виконавчого комітету</t>
  </si>
  <si>
    <t>ТОВ Мега-град</t>
  </si>
  <si>
    <t>технагляд за капітальний ремонт приміщень виконавчого комітету</t>
  </si>
  <si>
    <t>Розробка проектно-кошторисної документації по проекту капітальний ремонт приміщень виконавчого комітету</t>
  </si>
  <si>
    <t>ТОВ Автограф-Н</t>
  </si>
  <si>
    <t>авторський нагляд за капітальним ремонтом в приміщенні виконавчого комітету</t>
  </si>
  <si>
    <t>експертиза проекту Капітальний ремонт приміщення виконавчого комітету</t>
  </si>
  <si>
    <t>ТОВ Українська будівельна експертиза</t>
  </si>
  <si>
    <t>капітальний ремонт по заміні вікон в приміщенні їдальні</t>
  </si>
  <si>
    <t>ФОП Дробуш</t>
  </si>
  <si>
    <t>Послуги з виготовлення ПКД (капремонт ліфту)</t>
  </si>
  <si>
    <t>ФОП Новіков</t>
  </si>
  <si>
    <t>В.Чорновола,4/3</t>
  </si>
  <si>
    <t>ТОВ «Іннтехно»</t>
  </si>
  <si>
    <t>ТОВ «Южний город»</t>
  </si>
  <si>
    <t xml:space="preserve">ТОВ "Південьторгмонтаж" </t>
  </si>
  <si>
    <t>ТОВ "СМАРТ НИКСТРОЙ" (код 40858857)</t>
  </si>
  <si>
    <t>ТОВ "СИГМА-Т" (№41907082)</t>
  </si>
  <si>
    <t>ФОП Хіврич В.Г. (№2285501950)</t>
  </si>
  <si>
    <t>ФОП Ваховський Максим Олегович (№ 3072218395)</t>
  </si>
  <si>
    <t>Вул. Лягіна від вул. Погранична до вул. Защука у приватному секторі Заводського району м.Миколаєва</t>
  </si>
  <si>
    <t>Капітальний ремонт дорожнього покриття  по вул. Лягіна від вул. Погранична до вул. Защука у приватному секторі Заводського району м.Миколаєва</t>
  </si>
  <si>
    <t>Створення проектно-кошторисної документації</t>
  </si>
  <si>
    <t>ФОП Чудаков І.В. (№3091119056)</t>
  </si>
  <si>
    <t>Капітальний ремонт дорожнього покриття</t>
  </si>
  <si>
    <t>ТОВ  "ДОРБУДСЕРВИС"</t>
  </si>
  <si>
    <t>Вул. 5 Слобідська від вул. Кузнецька до вул. 7 Ялтинська у приватному секторі Заводського району м.Миколаєва</t>
  </si>
  <si>
    <t>Капітальний ремонт дорожнього покриття  по вул. 5 Слобідська від вул. Кузнецька до вул. 7 Ялтинська у приватному секторі Заводського району м.Миколаєва</t>
  </si>
  <si>
    <t>Вул. Покровська від а/д Т-15-07 до будинку № 34 у приватному секторі Заводського району м.Миколаєва</t>
  </si>
  <si>
    <t>Проектно-кошторисна документація по об’єкту "Капітальний ремонт дороги по вул. Покровська від а/д Т-15-07 до будинку № 34 у приватному секторі Заводського району м.Миколаєва"</t>
  </si>
  <si>
    <t>Вул. Клубна від вул. Антична до цвинтаря у приватному секторі мкр.Велика Корениха Заводського району м.Миколаєва</t>
  </si>
  <si>
    <t>Проектно-кошторисна документація по об’єкту "Капітальний ремонт дорожнього покриття  по вул. Клубна від вул. Антична до цвинтаря у приватному секторі мкр.Велика Корениха Заводського району м.Миколаєва</t>
  </si>
  <si>
    <t>Вул. 5 Слобідська від вул.Кузнецька до вул. 7 Ялтинська у приватному секторі Заводського району м.Миколаєва</t>
  </si>
  <si>
    <t>Капітальний ремонт дорожнього покриття  по вул. 5 Слобідська від вул.Кузнецька до вул. 7 Ялтинська у приватному секторі Заводського району м.Миколаєва</t>
  </si>
  <si>
    <t>ТОВ "ДОРБУДСЕРВІС" (код 41121296)</t>
  </si>
  <si>
    <t>Пров.Курортний у приватному секторі Заводського району м.Миколаєв</t>
  </si>
  <si>
    <t>Розроблення проектно-кошторисна документації та відшкодування витрат на проведення експертизи по об’єкту "Капітальний ремонт дорожнього покриття  по пров.Курортний у приватному секторі Заводського району м.Миколаєва"</t>
  </si>
  <si>
    <t>Створення проектно-кошторисної документації та відшкодування витрат на проведення експертизи</t>
  </si>
  <si>
    <t>Залізничному селище від буд.№918 до буд №782, від буд.№792 до буд.№775, від буд.№946 до буд.№760, у приватному секторі Заводського району м.Миколаєва</t>
  </si>
  <si>
    <t>Розроблення проектно-кошторисна документації та відшкодування витрат на проведення експертизи по об’єкту "Капітальний ремонт дорожнього покриття  на Залізничному селище від буд.№918 до буд №782, від буд.№792 до буд.№775, від буд.№946 до буд.№760, у приватному секторі Заводського району м.Миколаєва"</t>
  </si>
  <si>
    <t>Вул.Привокзальна від вул.Курортна до вул.Біла у приватному секторі Заводського району м.Миколаєва</t>
  </si>
  <si>
    <t>Розроблення проектно-кошторисна документації та відшкодування витрат на проведення експертизи по об’єкту "Капітальний ремонт дорожнього покриття  по вул.Привокзальна від вул.Курортна до вул.Біла у приватному секторі Заводського району м.Миколаєва"</t>
  </si>
  <si>
    <t>Старий інвалідний хутір у приватному секторі Заводського району м.Миколаєва</t>
  </si>
  <si>
    <t>Розроблення проектно-кошторисна документації та відшкодування витрат на проведення експертизи по об’єкту "Капітальний ремонт дорожнього покриття  Старий інвалідний хутір у приватному секторі Заводського району м.Миколаєва"</t>
  </si>
  <si>
    <t>Залізничному селище від буд.№536 до буд.№521, від буд.№520 до буд.№829, від буд.№782 до буд. №806 у приватному секторі Заводського району м.Миколаєва</t>
  </si>
  <si>
    <t>Розроблення проектно-кошторисна документації та відшкодування витрат на проведення експертизи по об’єкту "Капітальний ремонт дорожнього покриття  на Залізничному селище від буд.№536 до буд.№521, від буд.№520 до буд.№829, від буд.№782 до буд. №806 у приватному секторі Заводського району м.Миколаєва"</t>
  </si>
  <si>
    <t>Вул. Курортна від будинку №46 до вул.Привокзальна у приватному секторі Заводського району м.Миколаєва</t>
  </si>
  <si>
    <t>Розроблення проектно-кошторисна документації та відшкодування витрат на проведення експертизи по об’єкту "Капітальний ремонт дорожнього покриття  по вул. Курортна від будинку №46 до вул.Привокзальна у приватному секторі Заводського району м.Миколаєва"</t>
  </si>
  <si>
    <t>Вул. Кузнецька від пров.Суднобудівників до вул.Левадівська та від вул.Даля до вул. Мала Морська (парна сторона) у приватному секторі Заводського району м.Миколаєва</t>
  </si>
  <si>
    <t>Проектно-кошторисна документація по об’єкту: "Капітальний ремонт тротуару по вул. Кузнецька від пров.Суднобудівників до вул.Левадівська та від вул.Даля до вул. Мала Морська (парна сторона) у приватному секторі Заводського району м.Миколаєва"</t>
  </si>
  <si>
    <t>Виготовлення ПКД та відшкодування експертизи</t>
  </si>
  <si>
    <t>Вул.Громадянська від будинку № 57 до вул.Чкалова (непарна сторона) у приватному секторі Заводського району м.Миколаєва"</t>
  </si>
  <si>
    <t>Проектно-кошторисна документація по об’єкту: "Капітальний ремонт тротуару по вул.Громадянська від будинку № 57 до вул.Чкалова (непарна сторона) у приватному секторі Заводського району м.Миколаєва"</t>
  </si>
  <si>
    <t>Вздовж будинків №37, 37-А, 37-Б по вул.Г.Карпенка та №1 по  вул. Крилова у Заводського району м.Миколаєва"</t>
  </si>
  <si>
    <t>Капітальний ремонт дорожнього покриття  внутрішньоквартальних проїздів вздовж будинків №37, 37-А, 37-Б по вул.Г.Карпенка та №1 по  вул. Крилова у Заводського району м.Миколаєва</t>
  </si>
  <si>
    <t>ТОВ "Дорбудсервис" (№41121296)</t>
  </si>
  <si>
    <t>Вздовж будинку №9-А по  вул. Курортна у Заводського району м.Миколаєва"</t>
  </si>
  <si>
    <t>Капітальний ремонт дорожнього покриття  внутрішньоквартального проїзду вздовж будинку №9-А по  вул. Курортна у Заводського району м.Миколаєва</t>
  </si>
  <si>
    <t>ТОВ "Фортунаінвестбуд"</t>
  </si>
  <si>
    <t>Вздовж будинку №15 до будинку №13/1 по вул.Крилова у Заводського району м.Миколаєва</t>
  </si>
  <si>
    <t>Капітальний ремонт дорожнього покриття  внутрішньоквартального проїзду вздовж будинку №15 до будинку №13/1 по вул.Крилова у Заводського району м.Миколаєва</t>
  </si>
  <si>
    <t>ТОВ "Дорбудсервис"</t>
  </si>
  <si>
    <t>Вул.Заводська, будинок 27/1,27/2,27/3 у Заводському районі м.Миколаєва"</t>
  </si>
  <si>
    <t>Капітальний ремонт асфальтового покриття прибудинкової теріторії та внутрішньоквартального проїзду по вул.Заводська, будинок 27/1,27/2,27/3 у Заводському районі м.Миколаєва</t>
  </si>
  <si>
    <t>Розробка проектно-кошторисної документації та відшкодування експертизи</t>
  </si>
  <si>
    <t>ТОВ "АБК" АРХСІТІ"(41432591)</t>
  </si>
  <si>
    <t>Проспект Центральний, будинок №22 у Заводському районі м.Миколаєва</t>
  </si>
  <si>
    <t>Капітальний ремонт асфальтового покриття прибудинкової теріторії та   внутрішньоквартального проїзду по проспекту Центральний, будинок №22 у Заводському районі м.Миколаєва</t>
  </si>
  <si>
    <t>Розробка ПКД та відшкодування експертизи</t>
  </si>
  <si>
    <t>По проспекту Центральний будинок 24 у Заводського району м.Миколаєва</t>
  </si>
  <si>
    <t>Проектно-кошторисна документація по об’єкту "Капітальний ремонт асфальтового покриття  прибудинкової території та внутрішньоквартального проїзду по проспекту Центральний будинок 24 у Заводського району м.Миколаєва"</t>
  </si>
  <si>
    <t>Вздовж будинку по вул.Рюміна,2 у Заводському районі м.Миколаєва</t>
  </si>
  <si>
    <t>Проектно-кошторисна документація по об’єкту "Капітальний ремонт дорожнього покриття   внутрішньоквартального проїзду вздовж будинку по вул.Рюміна,2 у Заводському районі м.Миколаєва"</t>
  </si>
  <si>
    <t>Вздовж будинку №5,7,9 по вул.Робоча у Заводському районі м.Миколаєва</t>
  </si>
  <si>
    <t>Проектно-кошторисна документація по об’єкту "Капітальний ремонт дорожнього покриття   внутрішньоквартального проїзду вздовж будинку №5,7,9 по вул.Робоча у Заводському районі м.Миколаєва"</t>
  </si>
  <si>
    <t>Вздовж будинку № 4-Б по вул.Нікольська у Заводському районі м.Миколаєва</t>
  </si>
  <si>
    <t>Проектно-кошторисна документація по об’єкту "Капітальний ремонт адорожнього покриття   внутрішньоквартального проїзду вздовж будинку № 4-Б по вул.Нікольська у Заводському районі м.Миколаєва"</t>
  </si>
  <si>
    <t>Вздовж будинку № 19б, 19в по вул.Крилова у Заводському районі м.Миколаєва</t>
  </si>
  <si>
    <t>Проектно-кошторисна документація по об’єкту "Капітальний ремонт адорожнього покриття   внутрішньоквартального проїзду вздовж будинку № 19б, 19в по вул.Крилова у Заводському районі м.Миколаєва"</t>
  </si>
  <si>
    <t>Вздовж будинку № 15-А по вул. Крилова у Заводському районі м.Миколаєва</t>
  </si>
  <si>
    <t>Проектно-кошторисна документація по об’єкту "Капітальний ремонт адорожнього покриття   внутрішньоквартального проїзду вздовж будинку № 15-А по вул. Крилова у Заводському районі м.Миколаєва"</t>
  </si>
  <si>
    <t>Вул.Г.Карпенка, 12а, 12б, 12в в Заводському районі у м.Миколаєві</t>
  </si>
  <si>
    <t>Капітальний ремонт дитячого ігрового майданчика по вул.Г.Карпенка, 12а, 12б, 12в в Заводському районі у м.Миколаєві</t>
  </si>
  <si>
    <t>ТОВ "Миколаївбудінвест" (№ 35272884)</t>
  </si>
  <si>
    <t>Коригування ПКД</t>
  </si>
  <si>
    <t>Вул.Крилова, 12/1, 12/2 ,12/24 в Заводському районі у м.Миколаєві</t>
  </si>
  <si>
    <t>Капітальний ремонт дитячого ігрового майданчика по вул.Крилова, 12/1, 12/2 ,12/24 в Заводському районі у м.Миколаєві</t>
  </si>
  <si>
    <t>Вул.Г.Карпенка, 57 у Заводському районі у м.Миколаєві</t>
  </si>
  <si>
    <t>Капітальний ремонт дитячого ігрового майданчика по вул.Г.Карпенка, 57 у Заводському районі у м.Миколаєві</t>
  </si>
  <si>
    <t>Проспект  Центральний, 8-а у Заводському районі у м.Миколаєві</t>
  </si>
  <si>
    <t>Капітальний ремонт спортивного майданчика по пр. Центральному, 8-а у Заводському районі у м.Миколаєві</t>
  </si>
  <si>
    <t>ФОП Царюк С.В. (2231000227)</t>
  </si>
  <si>
    <t>Вул. Бузника, 2 в Заводському районі у м.Миколаєві</t>
  </si>
  <si>
    <t>Капітальний ремонт спортивного майданчика по вул. Бузника, 2 в Заводському районі у м.Миколаєві</t>
  </si>
  <si>
    <t>Вул.Лазурна,50,52,52б</t>
  </si>
  <si>
    <t>Капітальний ремонт міні-майданчика для дітей та підлітків по вул.Лазурна,50,52,52б</t>
  </si>
  <si>
    <t>Вул.Озерна,29,31 у м.Миколаєві, у тому числі проектні роботи та експертиза</t>
  </si>
  <si>
    <t>Реконструкція міні-стадіону з влаштуванням спортивного майданчика за адресою: вул.Озерна,29,31 у м.Миколаєві, у тому числі проектні роботи та експертиза</t>
  </si>
  <si>
    <t>ТОВ "Автограф-Н" (24797380)</t>
  </si>
  <si>
    <t>Будівельно монтажні роботи</t>
  </si>
  <si>
    <t>ТОВ "ТРИ-УМФ" (41591664)</t>
  </si>
  <si>
    <t>Вул. Порганична, 15 у м. Миколаєві, у тому числі передпроектні, проектні роботи та експертиза</t>
  </si>
  <si>
    <t>Реконструкція стадіону "Юність" за адресою: вул. Порганична, 15 у м. Миколаєві, у тому числі передпроектні, проектні роботи та експертиза</t>
  </si>
  <si>
    <t>Розробка ПКД</t>
  </si>
  <si>
    <t>ТОВ "Проект-комплект строй" (41299123)</t>
  </si>
  <si>
    <t>вул. Леваневців,25/9 у Заводському районі м.Миколаєва</t>
  </si>
  <si>
    <t>Капітальний ремонт контейнерного майданчика для збору ТПВ по вул. Леваневців,25/9 у Заводському районі м.Миколаєва</t>
  </si>
  <si>
    <t>Кущ Є.В. (3114317416)</t>
  </si>
  <si>
    <t>Вул.Курортна (парна сторона) від вул.Крилова до вул. Генерала Карпенка</t>
  </si>
  <si>
    <t>Розробка ПКД "Капітальний ремонт тротуару з влаштуванням велосипедної доріжки по вул.Курортна (парна сторона) від вул.Крилова до вул. Генерала Карпенка</t>
  </si>
  <si>
    <t>ТОВ "МАКРОМИР-ПРОЕКТ" (41698918)</t>
  </si>
  <si>
    <t>Біля будинку 42 по  вул. Генерала Карпенка у м. Миколаєві</t>
  </si>
  <si>
    <t>Розробка ПКД "Капітальний ремонт зеленої зони біля будинку 42 по  вул. Генерала Карпенка у м. Миколаєві</t>
  </si>
  <si>
    <t>ТОВ "ЛАСКАРДО" (35786854)</t>
  </si>
  <si>
    <t>Вул. 5-та Слобідська до вул.Чкалова у м.Миколаєві</t>
  </si>
  <si>
    <t>Нове будівництво  зливової каналізації по вул. 5-та Слобідська до вул.Чкалова у м.Миколаєві, у тому числі передпроектні, проектні роботи та експертиза</t>
  </si>
  <si>
    <t>Тех.нагляд</t>
  </si>
  <si>
    <t>Вул. 3 Слобідській, від будинку №155 до будинку №196, у Заводському районі м.Миколаєва,</t>
  </si>
  <si>
    <t>Нове будівництво  вуличної мережі каналізації по вул. 3 Слобідській, від будинку №155 до будинку №196, у Заводському районі м.Миколаєва, у тому числі передпроектні, проектні роботи та експертиза</t>
  </si>
  <si>
    <t>Вул. Крилова, 3,5,5А у Заводського району м.Миколаєва</t>
  </si>
  <si>
    <t>Капітальний ремонт дорожнього покриття  внутрішньоквартального проїздів по  вул. Крилова, 3,5,5А у Заводського району м.Миколаєва</t>
  </si>
  <si>
    <t>ТОВ "ДОРБУДСЕРВІС"</t>
  </si>
  <si>
    <t>Вул. Крилова, 46, 46-А, 48, м. Миколаїв Миколаївської області</t>
  </si>
  <si>
    <t>Капітальний ремонт дорожнього покриття внутрішньоквартальних проїздів по вул. Крилова, 46, 46-А, 48, м. Миколаїв Миколаївської області</t>
  </si>
  <si>
    <t>ФОП Штангей Л.О.</t>
  </si>
  <si>
    <t>Вул.Погранична, 9 в м.Миколаєві</t>
  </si>
  <si>
    <t>Розробка робочого проекту "Реконструкція системи газопостачання адмінбудівлі за адресою: вул.Погранична, 9 в м.Миколаєві з заміною газових котлів"</t>
  </si>
  <si>
    <t>Розробка робочого проекту</t>
  </si>
  <si>
    <t>ТОВ фірма "Єбус"</t>
  </si>
  <si>
    <t>Дошкільний навчальний заклад № 128 «Сонечко» м.Миколаєва</t>
  </si>
  <si>
    <t>ТОВ "Охрана"</t>
  </si>
  <si>
    <t>Миколаївська спеціалізована школа І- ІІІ ступенів мистецтв і прикладних ремесел експериментальний навчальний заклад всеукраїнського рівня «Академія дитячої творчості»
Миколаївської міської ради Миколаївської області</t>
  </si>
  <si>
    <t>Дошкільний навчальний заклад № 52 «Маяк» м.Миколаєва</t>
  </si>
  <si>
    <t>54003
м. Миколаїв, вул.Потьомкінська, 147-А</t>
  </si>
  <si>
    <t>Миколаївський муніципальний колегіум імені Володимира Дмитровича Чайки Миколаївської міської ради Миколаївської області</t>
  </si>
  <si>
    <t>Миколаївська загальноосвітня школа І-ІІІ ступенів №3 Миколаївської міської ради Миколаївської області</t>
  </si>
  <si>
    <t>ТОВ МІК "Інвестбуд"</t>
  </si>
  <si>
    <t>54030
м. Миколаїв, вул.Нікольська, 6</t>
  </si>
  <si>
    <t>Миколаївська загальноосвітня школа І-ІІІ ступенів №60 Миколаївської міської ради Миколаївської області</t>
  </si>
  <si>
    <t>ТОВ "Будівельна компанія "Інтербуд"</t>
  </si>
  <si>
    <t>54025                                                                                        м. Миколаїв                        пров. Парусний, 7-б</t>
  </si>
  <si>
    <t xml:space="preserve">капітальний ремонт покрівлі ДНЗ № 52 по пров. Парусному, 7-б у м.Миколаєві   </t>
  </si>
  <si>
    <t xml:space="preserve">технагляд на капітальний ремонт покрівлі ДНЗ № 52 по пров. Парусному, 7-б у м.Миколаєві   </t>
  </si>
  <si>
    <t>КП "Дирекція з капітального будівництва та реконструкції"</t>
  </si>
  <si>
    <t>м. Миколаїв, вул. Молдавська, 9</t>
  </si>
  <si>
    <t>Дошкільний навчальний заклад №72</t>
  </si>
  <si>
    <t>капітальний ремонт будівлі ДНЗ №72 М. Корениха, вул. Молдавська, 9 у м. Миколаєві, в т.ч. проектно-вишукувальні роботи та експертиза</t>
  </si>
  <si>
    <t>ТОВ "Будівельна компанія "Контакт-Жилбуд"</t>
  </si>
  <si>
    <t>технагляд на капітальний ремонт будівлі ДНЗ №72 М. Корениха, вул. Молдавська, 9 у м. Миколаєві</t>
  </si>
  <si>
    <t>54001                                   м. Миколаїв                        вул. Макарова,                           62-а</t>
  </si>
  <si>
    <t xml:space="preserve">капітальний ремонт внутрішнього дворового твердого покриття та облаштування водостоків ДНЗ № 128 м.Миколаєва         </t>
  </si>
  <si>
    <t>ТОВ "АСКАНІЯ ХОЛ"</t>
  </si>
  <si>
    <t>м. Миколаїв, вул. Артема, 28 А</t>
  </si>
  <si>
    <t>Дошкільний навчальний заклад № 139</t>
  </si>
  <si>
    <t>капітальний ремонт будівлі ДНЗ №139 по вул.Артема 28-а , ум.Миколаєві, в т.ч. проектно-вишукувальні роботи та експертиза</t>
  </si>
  <si>
    <t>технагляд на капітальний ремонт будівлі ДНЗ №139 по вул.Артема 28-а , ум.Миколаєві</t>
  </si>
  <si>
    <t xml:space="preserve"> ПКД на капітальний ремонт спортивного майданчику ЗОШ № 3 по вул. Чкалова, 114 у м.Миколаєві                                    </t>
  </si>
  <si>
    <t>ФОП Канівченко В.Г</t>
  </si>
  <si>
    <t>Миколаївська загальноосвітня школа І-ІІІ ступенів №11 Миколаївської міської ради Миколаївської області</t>
  </si>
  <si>
    <t>54039
м. Миколаїв,                                                          вул. 1-ша Екіпажна, 2</t>
  </si>
  <si>
    <t>Миколаївська загальноосвітня школа І-ІІІ ступенів №12 Миколаївської міської ради Миколаївської області</t>
  </si>
  <si>
    <t xml:space="preserve"> авторський нагляд на капітальний ремонт харчоблоку ЗОШ № 12 по вул. 1-й Екіпажний (Урицького), 2 у м.Миколаїв                                                </t>
  </si>
  <si>
    <t>ФОП Павлінов Ю.О.</t>
  </si>
  <si>
    <t>54017
м. Миколаїв, прт. Центральний, 84</t>
  </si>
  <si>
    <t>Миколаївська загальноосвітня школа І-ІІІ ступенів №13 Миколаївської міської ради Миколаївської області</t>
  </si>
  <si>
    <t xml:space="preserve">капітальний ремонт будівлі ЗОШ № 13 по прт. Центральний, 84 у м.Миколаєві                                                                                                                                 </t>
  </si>
  <si>
    <t xml:space="preserve">технагляд на капітальний ремонт будівлі ЗОШ № 13 по прт. Центральний, 84 у м.Миколаєві                                                                                                                                  </t>
  </si>
  <si>
    <t>Миколаївська загальноосвітня школа І-ІІІ ступенів № 20 Миколаївської міської ради Миколаївської області</t>
  </si>
  <si>
    <t xml:space="preserve">технагляд по капітальному ремонту огорожі ЗОШ № 20 по вул. Космонавтів, 70 у м.Миколаєві                                                   </t>
  </si>
  <si>
    <t>Миколаївська загальноосвітня школа І-ІІІ ступенів № 25 Миколаївської міської ради Миколаївської області</t>
  </si>
  <si>
    <t xml:space="preserve">капітальний ремонт будівлі ЗОШ №25 по вул.Защука, 2а у м.Миколаєві                        </t>
  </si>
  <si>
    <t>ТОВ Південьбуд Миколаїв ЛТД</t>
  </si>
  <si>
    <t xml:space="preserve">технагляд по капітальному ремонту будівлі ЗОШ №25 по вул.Защука, 2а у м.Миколаєві                        </t>
  </si>
  <si>
    <t xml:space="preserve">авторський нагляд по капітальному ремонту будівлі ЗОШ №25 по вул.Защука, 2а у м.Миколаєві                        </t>
  </si>
  <si>
    <t>ФОП Зубик А.В.</t>
  </si>
  <si>
    <t>Миколаївська загальноосвітня школа І-ІІІ ступенів №36 Миколаївської міської ради Миколаївської області</t>
  </si>
  <si>
    <t xml:space="preserve">капітальний  ремонт будівлі  ЗОШ № 36 по вул.Погранична (Чигрина), 143 у м.Миколаєві                                               </t>
  </si>
  <si>
    <t xml:space="preserve"> капітальний  ремонт будівлі  ЗОШ № 36 по вул.Погранична (Чигрина), 143 у м.Миколаєві                                               </t>
  </si>
  <si>
    <t>ТОВ "Електрим-2000"</t>
  </si>
  <si>
    <t xml:space="preserve"> авторський нагляд по капітальному  ремонту будівлі  ЗОШ № 36 по вул.Погранична , 143 у м.Миколаєві (коригування)                                           </t>
  </si>
  <si>
    <t>МФІ "НДІпроектреконструкція"</t>
  </si>
  <si>
    <t>Миколаївська загальноосвітня школа І-ІІІ ступенів № 39
Миколаївської міської ради Миколаївської області</t>
  </si>
  <si>
    <t xml:space="preserve">технагляд по капітальному  ремонту  покрівлі ЗОШ № 39 по вул. Нікольська, 6 у м.Миколаєві                                                       </t>
  </si>
  <si>
    <t>54037
м. Миколаїв, вул.Знаменська, 2/б</t>
  </si>
  <si>
    <t>Миколаївська загальноосвітня школа І-ІІІ ступенів №44 Миколаївської міської ради Миколаївської області</t>
  </si>
  <si>
    <t xml:space="preserve">капітальний ремонт огорожі ЗОШ № 44 по вул. Знаменська, 2/6 у м.Миколаєві                                                     </t>
  </si>
  <si>
    <t>технічний нагляд за виконанням робіт по капітальному ремонту огорожі ЗОШ№44 по вул.Знаменська,2/6 в м.Миколаєві</t>
  </si>
  <si>
    <t>авторський нагляд за виконанням робіт по капітальному ремонту огорожі ЗОШ№44 по вул.Знаменська,2/6 в м.Миколаєві</t>
  </si>
  <si>
    <t>ПД за виконанням робіт по капітальному ремонту огорожі ЗОШ№44 по вул.Знаменська,2/6 в м.Миколаєві</t>
  </si>
  <si>
    <t>54025
м. Миколаїв
пров.  Парусний, 3</t>
  </si>
  <si>
    <t>Миколаївська загальноосвітня школа І-ІІІ ступенів № 51 Миколаївської міської ради Миколаївської області</t>
  </si>
  <si>
    <t xml:space="preserve"> капітальний ремонт будівлі ЗОШ № 51 по пер.Парусному, 3А у м.Миколаєві    </t>
  </si>
  <si>
    <t>технічний нагляд за виконанням робіт по капітальному ремонту будівлі ЗОШ№51 у м.Миколаєві</t>
  </si>
  <si>
    <t>54052
м. Миколаїв
пр.  Корабелів, 10</t>
  </si>
  <si>
    <t>Миколаївська загальноосвітня школа І-ІІІ ступенів № 54 Миколаївської міської ради Миколаївської області</t>
  </si>
  <si>
    <t xml:space="preserve">технагляд по  капітальному ремонту будівлі ЗОШ № 54 по пр.Корабелів, 10 б  у м.Миколаєві                                                </t>
  </si>
  <si>
    <t xml:space="preserve"> капітальний ремонт будівлі ЗОШ № 54 по пр.Корабелів, 10 б  у м.Миколаєві                                                     </t>
  </si>
  <si>
    <t xml:space="preserve">ПКД по капітальному ремонту спортзалу ЗОШ № 60 по вул. Чорноморська, 1 у м.Миколаєві    </t>
  </si>
  <si>
    <t xml:space="preserve">капітальний ремонт спортзалу ЗОШ № 60 по вул. Чорноморська, 1 у м.Миколаєві                                                                                     </t>
  </si>
  <si>
    <t xml:space="preserve">авторський по капітальному ремонту спортзалу ЗОШ № 60 по вул. Чорноморська, 1 у м.Миколаєві    </t>
  </si>
  <si>
    <t xml:space="preserve">технагляд по капітальному ремонту спортзалу ЗОШ № 60 по вул. Чорноморська, 1 у м.Миколаєві    </t>
  </si>
  <si>
    <t>Миколаївська загальноосвітня школа І-ІІІ ступенів № 61
Миколаївської міської ради Миколаївської області</t>
  </si>
  <si>
    <t>капітальний ремонт спортивного майданчику ЗОШ №61 по вул.Матросова,2   у м.Миколаєві</t>
  </si>
  <si>
    <t>технагляд на капітальний ремонт спортивного майданчику ЗОШ №61 по вул.Матросова,2   у м.Миколаєві</t>
  </si>
  <si>
    <t xml:space="preserve"> авторський нагляд на капітальний ремонт спортивного майданчику ЗОШ №61 по вул.Матросова,2   у м.Миколаєві</t>
  </si>
  <si>
    <t xml:space="preserve"> капітальний ремонт  спортивного майданчику ММК (філія) по вул. Потьомкінській, 147-А у м.Миколаєві     </t>
  </si>
  <si>
    <t xml:space="preserve">ПД по капітальному ремонту спортивного майданчика ММК (філія) по вул Потьомкінській, 147-А у м.Миколаєві  </t>
  </si>
  <si>
    <t>ФОП Парулава Є.З.</t>
  </si>
  <si>
    <t xml:space="preserve">технагляд по  капітальному ремонту  спортивного майданчику ММК (філія) по вул. Потьомкінській, 147-А у м.Миколаєві     </t>
  </si>
  <si>
    <t xml:space="preserve"> коригування ПКД по капітальному ремонту покрівлі БТДЮ Інгульского району по вул. Космонавтів,128-а у м. Миколаєві</t>
  </si>
  <si>
    <t xml:space="preserve"> капітальний ремонт покрівлі БТДЮ Інгульского району по вул. Космонавтів,128-а у м. Миколаєві</t>
  </si>
  <si>
    <t>авторський нагляд по капітальному ремонту покрівлі БТДЮ Інгульского району по вул. Космонавтів,128-а у м. Миколаєві</t>
  </si>
  <si>
    <t>технагляд нагляд по капітальному ремонту покрівлі БТДЮ Інгульского району по вул. Космонавтів,128-а у м. Миколаєві</t>
  </si>
  <si>
    <t>м.Миколаїв, вул. Адміральська, 31</t>
  </si>
  <si>
    <t>Палац творчості учнів м. Миколаїва</t>
  </si>
  <si>
    <t>капітальний ремонт будівлі Палацу творчості учнів по вул. Адміральській, 31 м.Миколаєва</t>
  </si>
  <si>
    <t>авторський нагляд капітальний ремонт будівлі Палацу творчості учнів по вул. Адміральській, 31 м.Миколаєва</t>
  </si>
  <si>
    <t>технагляд капітальний ремонт будівлі Палацу творчості учнів по вул. Адміральській, 31 м.Миколаєва</t>
  </si>
  <si>
    <t>Реконструкція з прибудовою ЗОШ № 36 по вул. Чигрина, 143 у м.Миколаєві  в т.ч. проектно-вишукувальні роботи та експертиза</t>
  </si>
  <si>
    <t>ТОВ "МИКОЛАЇВМІСЬКБУД"</t>
  </si>
  <si>
    <t>м.Миколаїв, вул. Металургів, 96/1</t>
  </si>
  <si>
    <t>Миколаївська загальноосвітня школа І-ІІІ ступенів №40 Миколаївської міської ради Миколаївської області</t>
  </si>
  <si>
    <t>Реконструкція покрівлі ЗОШ №40 по вул.Металургів, 97/1  у м.Миколаєві, у  т.ч.проектно-вишукувальні роботи та експертиза</t>
  </si>
  <si>
    <t>ТОВ ДІ КОР-БУД</t>
  </si>
  <si>
    <t>Реконструкція спортивного майданчику ЗОШ № 44 по вул. Знаменській,2/6 у м.Миколаєві, в т.ч. проектно-вишукувальні роботи та експертиза</t>
  </si>
  <si>
    <t>Колективне науково-виробниче підприємство “Тріботехніка”</t>
  </si>
  <si>
    <t>м.Миколаїв, вул. Архітектора Старова, 6 Г</t>
  </si>
  <si>
    <t>Миколаївська загальноосвітня школа І-ІІІ ступенів №64 Миколаївської міської ради Миколаївської області</t>
  </si>
  <si>
    <t>Реконструкція покрівлі ЗОШ №64, вул.Архітектора Старова, 6-Г у м.Миколаєві, у т.ч. проектно-вишукувальні роботи та експертиза</t>
  </si>
  <si>
    <t>ТОВ Миколаївська інжинірингова компанія «ІНВЕСТБУД»</t>
  </si>
  <si>
    <t>м.Миколаїв, вул. Олійника, 36</t>
  </si>
  <si>
    <t>Будівництво навчальних приміщень для розвитку творчого потенціалу учнів з інклюзивною формою навчання МСШ "Академія дитячої творчості" за адресою: 54034, м. Миколаїв, вул. Олійника, 36, в т.ч. проектно-вишукувальні роботи та експертиза</t>
  </si>
  <si>
    <t>Реконструкція будівлі ( для забезпечення інклюзивної форми навчання) МСШ МіПР «Академія дитячої творчості» по вул.Олійника,36 у м.Миколаєві, в т.ч. проектно-вишукувальні роботи та експертиза</t>
  </si>
  <si>
    <t>Товариство з обмеженою відповідальністю «Ді Кор-Буд»</t>
  </si>
  <si>
    <t>м.Миколаїв, вул. Лазурна, 48</t>
  </si>
  <si>
    <t>Миколаївська гімназія №4</t>
  </si>
  <si>
    <t>Реконструкція баскетбольного майданчика гімназії №4 по вул.Лазурній,48 у м. Миколаєві, в т.ч. проектно-вишукувальні роботи та експертиза (Громадський бюджет №0058)</t>
  </si>
  <si>
    <t>ТОВ "НІКА-ДОРБУД"</t>
  </si>
  <si>
    <t>Виготовлення ПКД на реконструкцію баскетбольного майданчика гімназії №4 по вул.Лазурній,48 у м. Миколаєві, в т.ч. проектно-вишукувальні роботи та експертиза (Громадський бюджет №0058)</t>
  </si>
  <si>
    <t>Проведення експертизи по реконструкції баскетбольного майданчика гімназії №4 по вул.Лазурній,48 у м. Миколаєві, в т.ч. проектно-вишукувальні роботи та експертиза (Громадський бюджет №0058)</t>
  </si>
  <si>
    <t>м.Миколаїв, вул. Потьомкінська, 154</t>
  </si>
  <si>
    <t>Миколаївська загальноосвітня школа І-ІІІ ступенів №53 Миколаївської міської ради Миколаївської області</t>
  </si>
  <si>
    <t>Реконтрукція спортивного майданчика ЗОШ №53 по вул.Потьомкінській, 154 у м. Миколаєві, в т.ч. проектно-вишукувальні роботи та експертиза (Громадський бюджет №0035)</t>
  </si>
  <si>
    <t>Проведення експертизи на реконтрукцію спортивного майданчика ЗОШ №53 по вул.Потьомкінській, 154 у м. Миколаєві, в т.ч. проектно-вишукувальні роботи та експертиза (Громадський бюджет №0035)</t>
  </si>
  <si>
    <t>Виготовлення ПКД на реконтрукцію спортивного майданчика ЗОШ №53 по вул.Потьомкінській, 154 у м. Миколаєві, в т.ч. проектно-вишукувальні роботи та експертиза (Громадський бюджет №0035)</t>
  </si>
  <si>
    <t>м.Миколаїв, вул. Горького, 41</t>
  </si>
  <si>
    <t>Миколаївська загальноосвітня школа І-ІІІ ступенів №16 Миколаївської міської ради Миколаївської області</t>
  </si>
  <si>
    <t>Реконструкція спортивного майданчика (волейбольний, баскетбольний, тенісний) Миколаївської загальноосвітньої школи І-ІІІ ступенів №16 Миколаївської міської ради по вул. Христо Ботєва, 41 у м. Миколаєві, в т.ч. проектно-вишукувальні роботи та експертиза(Громадський бюджет №0007)</t>
  </si>
  <si>
    <t>ППБК "ГЛИНОЗЕМПРОМБУД"</t>
  </si>
  <si>
    <t>Авторський нагляд на роботи по реконструкції спортивного майданчика (волейбольний, баскетбольний, тенісний) Миколаївської загальноосвітньої школи І-ІІІ ступенів №16 Миколаївської міської ради по вул. Христо Ботєва, 41 у м. Миколаєві, в т.ч. проектно-вишукувальні роботи та експертиза(Громадський бюджет №0007)</t>
  </si>
  <si>
    <t>ТОВ "Гідроавтоматизація-Південь"</t>
  </si>
  <si>
    <t>Технічний нагляд на роботи по реконструкції спортивного майданчика (волейбольний, баскетбольний, тенісний) Миколаївської загальноосвітньої школи І-ІІІ ступенів №16 Миколаївської міської ради по вул. Христо Ботєва, 41 у м. Миколаєві, в т.ч. проектно-вишукувальні роботи та експертиза(Громадський бюджет №0007)</t>
  </si>
  <si>
    <t>Експертиза на роботи по реконструкції спортивного майданчика (волейбольний, баскетбольний, тенісний) Миколаївської загальноосвітньої школи І-ІІІ ступенів №16 Миколаївської міської ради по вул. Христо Ботєва, 41 у м. Миколаєві, в т.ч. проектно-вишукувальні роботи та експертиза(Громадський бюджет №0007)</t>
  </si>
  <si>
    <t>Виготовлення ПКД реконструкції спортивного майданчика (волейбольний, баскетбольний, тенісний) Миколаївської загальноосвітньої школи І-ІІІ ступенів №16 Миколаївської міської ради по вул. Христо Ботєва, 41 у м. Миколаєві (Громадський бюджет №0007)</t>
  </si>
  <si>
    <t>54018                                                                                        м. Миколаїв                        вул. Космонавтів, 56</t>
  </si>
  <si>
    <t xml:space="preserve"> ПКД на капітальний ремонт будівлі ДНЗ № 50 по вул. Космонавтів, 56 у м.Миколаєві </t>
  </si>
  <si>
    <t>ПКД на капітальний ремонт спортивної зали ЗОШ № 20 по вул Космонавтів, 70 у м. Миколаїв ( корегування ПКД та перерахунок кошторисів)</t>
  </si>
  <si>
    <t>ТОВ "Арх Дизайн"</t>
  </si>
  <si>
    <t>54034
м. Миколаїв, вул.9- Повздовжня, 10</t>
  </si>
  <si>
    <t>Миколаївська загальноосвітня школа І-ІІІ ступенів №46 Миколаївської міської ради Миколаївської області</t>
  </si>
  <si>
    <t xml:space="preserve">технагляд на капітальний ремонт огорожі ЗОШ № 46 по вул. 9-та Поздовжня, 10 у м. Миколаїв </t>
  </si>
  <si>
    <t>54056
м. Миколаїв, пр. Миру, 50</t>
  </si>
  <si>
    <t>Миколаївська загальноосвітня школа І-ІІІ ступенів №50 Миколаївської міської ради Миколаївської області</t>
  </si>
  <si>
    <t xml:space="preserve">технагляд на капітальний ремонт огорожі ЗОШ №50 по пр. Миру, 50 у м.Миколаєві   </t>
  </si>
  <si>
    <t xml:space="preserve">капітальний ремонт огорожі ЗОШ №50 по пр. Миру, 50 у м.Миколаєві   </t>
  </si>
  <si>
    <t>54056
м. Миколаїв
вул. Христо Ботєва, 14</t>
  </si>
  <si>
    <t>Миколаївська загальноосвітня школа І-ІІІ ступенів № 16
Миколаївської міської ради Миколаївської області</t>
  </si>
  <si>
    <t>ПКД на капітальний ремонт огорожі ЗОШ № 16 по вул. Христо Ботєва, 41 у м. Миколаїв ( корегування ПКД та перерахунок кошторисів)</t>
  </si>
  <si>
    <t>ФОП Буряченко С.В.</t>
  </si>
  <si>
    <t>ФОП Королюк М.А.</t>
  </si>
  <si>
    <t>ТОВ АБК "Завтра"</t>
  </si>
  <si>
    <t>ТОВ "Миколаїавтодор"</t>
  </si>
  <si>
    <t xml:space="preserve">Виготовлення ПКД </t>
  </si>
  <si>
    <t xml:space="preserve"> вул.6 Слобідській.46.46А у м.Миколаєві (2 Пускова черга)</t>
  </si>
  <si>
    <t xml:space="preserve">Капітальний ремонт дитячого та спортивного майданчиків </t>
  </si>
  <si>
    <t>ТОВ "ТРИНОЛЛ"</t>
  </si>
  <si>
    <t xml:space="preserve">вул.Космонавтів 53 в Інгульському районі м.Миколаєва" </t>
  </si>
  <si>
    <t xml:space="preserve"> пр.Миру 60 в Інгульському районі м.Миколаєва" </t>
  </si>
  <si>
    <t xml:space="preserve">  вул.Космонавтів 53 в Інгульському районі м.Миколаєва" </t>
  </si>
  <si>
    <t xml:space="preserve">Ведення технічного нагляду </t>
  </si>
  <si>
    <t xml:space="preserve">вул.Космонавтів 53 в Інгульському районі м.Миколаєва </t>
  </si>
  <si>
    <t xml:space="preserve">Здійснення авторського нагляду </t>
  </si>
  <si>
    <t xml:space="preserve"> пр.Миру 60 в Інгульському районі м.Миколаєва </t>
  </si>
  <si>
    <t xml:space="preserve">пр.Миру 60 в Інгульському районі м.Миколаєва </t>
  </si>
  <si>
    <t>вул.Театральна 4А - ул.Передова 52А в Інгульському районі м.Миколаэва"</t>
  </si>
  <si>
    <t xml:space="preserve">Капітальний ремонт асфальтобенного покриття внутрішньоквартальних проїздів </t>
  </si>
  <si>
    <t>ТОВ "СИГМА-Т"</t>
  </si>
  <si>
    <t xml:space="preserve">  пр.Миру, 60 в Інгульському районі м.Миколаєва" </t>
  </si>
  <si>
    <t xml:space="preserve"> по вул.Театральна 4А - ул.Передова 52А в Інгульському районі м.Миколаэва</t>
  </si>
  <si>
    <t xml:space="preserve"> вул.Театральна 4А - ул.Передова 52А в Інгульському районі м.Миколаэва</t>
  </si>
  <si>
    <t xml:space="preserve">пров.Шевченка у приватному секторі в Інгульському районі м.Миколаєва   </t>
  </si>
  <si>
    <t>Капремонт доріг</t>
  </si>
  <si>
    <t xml:space="preserve"> пров. 2-й Електронний в Інгульському районі м.Миколаєва"</t>
  </si>
  <si>
    <t xml:space="preserve">Відшкодування вартості експертизи </t>
  </si>
  <si>
    <t>ТОВ "ПРОЕКТ_КОМПЛЕКТ СТРОЙ"</t>
  </si>
  <si>
    <t xml:space="preserve"> пров. 1-й Електронний в Інгульському районі м.Миколаєва"</t>
  </si>
  <si>
    <t>вул.Горохівській в Інгульському районі м.Миколаєва"</t>
  </si>
  <si>
    <t>пров. 2-й Електронний в Інгульському районі м.Миколаєва"</t>
  </si>
  <si>
    <t xml:space="preserve">Реконструкція скверу </t>
  </si>
  <si>
    <t xml:space="preserve"> вул.Кобера в Інгульському районі м.Миколаєва  </t>
  </si>
  <si>
    <t xml:space="preserve">пров.Глухий від вул. 8 Слобідська до вул. 10 Слобідська в Інгульському районі м.Миколаєва  </t>
  </si>
  <si>
    <t xml:space="preserve"> "Капітальний  ремонт  провулку 2-й Електронний в Інгульському районі м.Миколаєва"</t>
  </si>
  <si>
    <t xml:space="preserve"> вул.Казарського. 1/1.1/2.1/3 та 1/4 у м.Миколаєві"</t>
  </si>
  <si>
    <t>ТОВ "ЛАСКАРДО"</t>
  </si>
  <si>
    <t xml:space="preserve"> пров. 5 Інгульський від вул.Кругова до вул.5 Інгульська у приватному секторі в Інгульському районі м.Миколаєва   </t>
  </si>
  <si>
    <t xml:space="preserve"> вул.2 Лінія у приватному секторі в Інгульському районі м.Миколаєва   </t>
  </si>
  <si>
    <t xml:space="preserve">вул.5 Інгульська від буд. 47 до вул.Кругова  у приватному секторі в Інгульському районі м.Миколаєва   </t>
  </si>
  <si>
    <t>пров.Новоелів у приватному секторі Інгульського району м.Миколаїв"</t>
  </si>
  <si>
    <t xml:space="preserve">Перерахунок ПКД </t>
  </si>
  <si>
    <t xml:space="preserve"> пров.Новоселів у приватному секторі Інгульського району м.Миколаєва</t>
  </si>
  <si>
    <t xml:space="preserve">вул.2 Лінія у приватному секторі в Інгульському районі м.Миколаєва   </t>
  </si>
  <si>
    <t xml:space="preserve"> вул.5 Інгульська від буд. 47 до вул.Кругова  у приватному секторі в Інгульському районі м.Миколаєва   </t>
  </si>
  <si>
    <t xml:space="preserve"> вул.Січова в Інгульському районі м.Миколаєва</t>
  </si>
  <si>
    <t>вул.10 Поздовжня від вул. 3 Лінія до вул.1 Лінія  у приватному секторі в Інгульському районі м.Миколаєва</t>
  </si>
  <si>
    <t>пров.Буревісників  у приватному секторі в Інгульському районі м.Миколаєва</t>
  </si>
  <si>
    <t>вул.8 Поздовжня від вул. 5 Лінія до вул.Генерала Свиридова та від вул.Скульптора Ізмалкова до вул. 12 Лінія   у приватному секторі в Інгульському районі м.Миколаєва</t>
  </si>
  <si>
    <t>вул.Баштанська від вул.5 Поздовжня у приватному секторі в Інгульському районі м.Миколаєва</t>
  </si>
  <si>
    <t>вул.Буревісників від буд.16 до буд.29 і від буд.29 до пров.Буревісників  у приватному секторі в Інгульському районі м.Миколаєва</t>
  </si>
  <si>
    <t>пров.Челюскінців від вул.9 Лінія до вул.11 Лінія у приватному секторі в Інгульському районі м.Миколаєва</t>
  </si>
  <si>
    <t>вул.Першотравнева від буд.№111 до вул. Квітнева у приватному секторі в Інгульському районі м.Миколаєва</t>
  </si>
  <si>
    <t>пров.Новоселів у приватному секторі Інгульського району м.Миколаєва</t>
  </si>
  <si>
    <t xml:space="preserve">ФОП Стеценко О.М.                                                                         </t>
  </si>
  <si>
    <t>Здійснення авторського нагляду за капітальним ремонтом дорожньоого покриття по пров. Новоселів у приватному секторі Інгулоьского району м.Миколаєва</t>
  </si>
  <si>
    <t xml:space="preserve"> вул. 7 Поздовжня від вул.Космонаавтів до вул.Будівельників в Інгульському районі м.Миколаєва</t>
  </si>
  <si>
    <t xml:space="preserve"> по вул. Січова в Інгульському районі м.Миколаєва"</t>
  </si>
  <si>
    <t>вул.Січова в Інгульському районі м.Миколаєва</t>
  </si>
  <si>
    <t xml:space="preserve"> вул.Січова в Інгульському районі м.Миколаєві</t>
  </si>
  <si>
    <t xml:space="preserve"> вул. Скульптора Ізмалкова - вул. Генерала Свиридова - вул. 9 Поздовжня в Інгульському районі м. Миколаєва</t>
  </si>
  <si>
    <t xml:space="preserve">Проведення експертизи проектно-кошторисної документації </t>
  </si>
  <si>
    <t>ТОВ "ПРОЕКТ-КОМПЛЕКТ СТРОЙ"</t>
  </si>
  <si>
    <t>пр.Богоявленський , 1 в Інгульському районі м.Миколаєва</t>
  </si>
  <si>
    <t>капітальним ремонтом покрівлі адміністрації будівлі та гаражних боксів адміністрації</t>
  </si>
  <si>
    <t>ТОВ "Южний Город"</t>
  </si>
  <si>
    <t>вул.Турбінна"</t>
  </si>
  <si>
    <t xml:space="preserve">Капітальний ремонтт мереж вуличного освітлення </t>
  </si>
  <si>
    <t>ТОВ "Светолюкс-Электромонтаж"</t>
  </si>
  <si>
    <t>вул.Севастопольська,61а/15</t>
  </si>
  <si>
    <t>Кап.ремонт нежитлових приміщень</t>
  </si>
  <si>
    <t>ПП"Монолітбудсервіс"</t>
  </si>
  <si>
    <t>пр.Центральний,135</t>
  </si>
  <si>
    <t>ФОП Павлінов Ю.О., ТОВ "Промбуд 2"</t>
  </si>
  <si>
    <t>ТОВ"Нікпожтехсервіс"</t>
  </si>
  <si>
    <t xml:space="preserve"> вул. Чкалова, 118-А </t>
  </si>
  <si>
    <t>ТОВ "ИСКОБАР", ТОВ"БК ЖИТЛОКОМБУДСЕРВІС"</t>
  </si>
  <si>
    <t>ТОВ "ОХРАНА"</t>
  </si>
  <si>
    <t>ФОП Токарчук О.С.; ТОВ "Промбезпека"</t>
  </si>
  <si>
    <t>Миколаївське спец РБППР</t>
  </si>
  <si>
    <t>ТОВ"Водяне будівництво"</t>
  </si>
  <si>
    <t>ФОП Токарчук О.С.; ТОВ "Нікпожтехсервіс"</t>
  </si>
  <si>
    <t>пр.Миру, 7/1</t>
  </si>
  <si>
    <t>Капітальний ремонт будівлі ДНЗ №67</t>
  </si>
  <si>
    <t>вул.Знаменська,5А</t>
  </si>
  <si>
    <t>Капітальний ремонт будівлі ДНЗ №130</t>
  </si>
  <si>
    <t>ФОП Токарчук О.С., ТОВ"БК ЖИТЛОКОМБУДСЕРВІС"</t>
  </si>
  <si>
    <t>вул.Лазурна, 44</t>
  </si>
  <si>
    <t>Капітальний ремонт покрівлі ДНЗ №49</t>
  </si>
  <si>
    <t xml:space="preserve">Капітальний ремонт (першочергові протиаварійні роботи) будівлі ДНЗ №67 </t>
  </si>
  <si>
    <t>вул.Театральна, 25/1</t>
  </si>
  <si>
    <t>Капітальний ремонт будівлі ДНЗ № 60</t>
  </si>
  <si>
    <t>вул. 3-я Лінія, 17</t>
  </si>
  <si>
    <t>Капітальний ремонт будівлі ДНЗ № 75</t>
  </si>
  <si>
    <t>ТОВ"ІНПРОЕКТБУД"</t>
  </si>
  <si>
    <t>вул. Потьомкінська, 22а</t>
  </si>
  <si>
    <t>ТОВ  АПК"ЄВГРОЙЛ" ПП"Монолітбудсервіс</t>
  </si>
  <si>
    <t>ТОВ "Ласкардо",  ТОВ"НІКОВІТА"</t>
  </si>
  <si>
    <t xml:space="preserve"> вул. Даля, 11а</t>
  </si>
  <si>
    <t>Капітальний ремонт закладу для створення Інклюзивно-ресурсн..центру ЗОШ №37</t>
  </si>
  <si>
    <t>ДПТП"Сумбудпроект" ПАТ"Сумбуд"</t>
  </si>
  <si>
    <t>ФОП Круліковський К.Я., ТОВ"НІКОВІТА"</t>
  </si>
  <si>
    <t>ФОП Круліковський К.Я., ТОВ "Голден-Буд"</t>
  </si>
  <si>
    <t>Ф-я ДП "Укрдержбудекспертиза", ТОВ "Промбезпека"; КП ММР КБ; ТОВ "Сигнал-Союз"</t>
  </si>
  <si>
    <t>Ф-я ДП "Укрдержбудекспертиза", ФОП АксьоновМ.В.; ТОВ "БК ПраймДевелопмент"</t>
  </si>
  <si>
    <t>Ф-я ДП "Укрдержбудекспертиза" ТОВ Нікпожтехсервіс; КП ММР КБ</t>
  </si>
  <si>
    <t>вул. Робоча,8</t>
  </si>
  <si>
    <t>ТОВ "Сварог-К"</t>
  </si>
  <si>
    <t>вул. Гарнізонна,10</t>
  </si>
  <si>
    <t>ТОВ"Нікпожтехсервіс", ТОВ "ІННТЕХНО"</t>
  </si>
  <si>
    <t>вул. Чайковського, 30</t>
  </si>
  <si>
    <t>ТОВ "ТРЕНДКОМ"</t>
  </si>
  <si>
    <t>вул. Металургів 97/1</t>
  </si>
  <si>
    <t>ТОВ НТП "ПромБезпека"</t>
  </si>
  <si>
    <t xml:space="preserve">вул.. Електронна,73 </t>
  </si>
  <si>
    <t>вул. 4-й Повздовжній,58</t>
  </si>
  <si>
    <t>Ф-я ДП "Укрдержбудекспертиза"; ТОВ "НІКОВІТА"</t>
  </si>
  <si>
    <t>вул. 9-ій Повздовжній,10</t>
  </si>
  <si>
    <t>Ф-я ДП "Укрдержбудекспертиза", ТОВ"БК ЖИТЛОКОМБУДСЕРВІС"</t>
  </si>
  <si>
    <t>вул. Генерала Попеля, 164</t>
  </si>
  <si>
    <t>пр.Миру,50</t>
  </si>
  <si>
    <t>пров. Парусний, 3-а</t>
  </si>
  <si>
    <t xml:space="preserve">ТОВ НТП "ПромБезпека" </t>
  </si>
  <si>
    <t>вул.Лісова,1</t>
  </si>
  <si>
    <t>Капітальний ремонт будівлі ЗОШ №24</t>
  </si>
  <si>
    <t>ТОВ "Южний город"</t>
  </si>
  <si>
    <t xml:space="preserve"> вул. Крилова,42</t>
  </si>
  <si>
    <t>ТОВ"НІКОВІТА"</t>
  </si>
  <si>
    <t>вул. Потьомкінській,154</t>
  </si>
  <si>
    <t>ФОП Круліковський К.Я., ТОВ "ОХРАНА"</t>
  </si>
  <si>
    <t>вул.Космонавтів,138А</t>
  </si>
  <si>
    <t>ТОВ "Сварог-К";ТОВ "НікоВіта"</t>
  </si>
  <si>
    <t>вул. Лазурна,46</t>
  </si>
  <si>
    <t>ТОВ "ИСКОБАР", ТОВ"Нікпожтехсервіс"</t>
  </si>
  <si>
    <t xml:space="preserve"> вул. Лазурна,48</t>
  </si>
  <si>
    <t>пров.Парусний,3-а</t>
  </si>
  <si>
    <t>Капітальний ремонт будівлі ЗОШ №51</t>
  </si>
  <si>
    <t>вул. Китобоїв,3</t>
  </si>
  <si>
    <t>ФОП Круліковський К.Я.; ТОВ "Голден-Буд"</t>
  </si>
  <si>
    <t>Капітальний ремонт АПС з ПКД ММК (філія) ім.В.Д. Чайки</t>
  </si>
  <si>
    <t>ТОВ "ИСКОБАР"; ТОВ "БК Прайм Девелопмент"</t>
  </si>
  <si>
    <t xml:space="preserve"> вул. Гайдара,1</t>
  </si>
  <si>
    <t>ПП БФ "Квазар-Інк"</t>
  </si>
  <si>
    <t>ТОВ"Олкріс"</t>
  </si>
  <si>
    <t xml:space="preserve"> вул.Електронна, 73</t>
  </si>
  <si>
    <t xml:space="preserve">Капітальний ремонт спортивного майданчику ЗОШ №42 </t>
  </si>
  <si>
    <t>вул. Потьомкінська, 22А,</t>
  </si>
  <si>
    <t>Капітальний ремонт будівлі ЗОШ №15</t>
  </si>
  <si>
    <t>ТОВ "МИКОЛАЇВОБЛПРОЕКТ"</t>
  </si>
  <si>
    <t>вул.Ген.Попеля, 164</t>
  </si>
  <si>
    <t>Капітальний ремонт спортивного майданчику ЗОШ №48за адресою вул.Ген.Попеля, 164 у м.Миколаєві в т.ч. проетно-вишукувальні роботи та експертиза</t>
  </si>
  <si>
    <t>ТОВ "Завтра"</t>
  </si>
  <si>
    <t xml:space="preserve"> вул.Адміральській, 24</t>
  </si>
  <si>
    <t>ТОВ "Інпроектбуд"</t>
  </si>
  <si>
    <t xml:space="preserve"> вул. Корабелів,18</t>
  </si>
  <si>
    <t>ТОВ "БК "БУДРЕМКОНСТРУКЦІЯ"</t>
  </si>
  <si>
    <t>вул. Космонавтів, 128 А</t>
  </si>
  <si>
    <t xml:space="preserve">пр. Корабелів, 12/1 </t>
  </si>
  <si>
    <t>Капітальний ремонт АПС Дитячого центру позашкільної роботи Кораб.р-ну з ПКД</t>
  </si>
  <si>
    <t xml:space="preserve"> вул. Адміральська,31</t>
  </si>
  <si>
    <t>ФОП Круліковський К.Я.; ТОВ "БК Прайм Девелопмент"</t>
  </si>
  <si>
    <t>ТОВ "УРБАН-КОНСТРАКТ", ПГО "Центр ВПІ АТО "Літопис"</t>
  </si>
  <si>
    <t>ТОВ ГолденБуд; ФОП Любенко І.В.</t>
  </si>
  <si>
    <t>Капітальний ремонт будівлі  СК "Надія" (СДЮШОР № 4) по вул. Генерала Карпенка 40а, у м. Миколаєві</t>
  </si>
  <si>
    <t>ФОП Любенко І.В.</t>
  </si>
  <si>
    <t>Капітальний ремонт спортивного майданчика зі штучним покриттям ДЮСШ №3</t>
  </si>
  <si>
    <t xml:space="preserve"> вул. Спортивна, 1/1</t>
  </si>
  <si>
    <t>Капітальний ремонт спортивного майданчика зі штучним покриттям Центрального міського стадіону по вул. Спортивна, 1/1 в м.Миколаєві, з облаштуванням мультиігрового спортивного майданчика</t>
  </si>
  <si>
    <t>Капітальний ремонт спортивного майданчику з облаштуванням штучного покриття Центрального міського стадіону по вулиці Спортивній, 1/1 в м.Миколаєві у тому числі  проектні роботи та експертиза</t>
  </si>
  <si>
    <t>ТОВ"Міленіум ФЛО"</t>
  </si>
  <si>
    <t>вул.Адміральська,24</t>
  </si>
  <si>
    <t>Реставрація Миколаівської гімназії №2</t>
  </si>
  <si>
    <t>реставрація</t>
  </si>
  <si>
    <t>ПАТ"БК"Житлопромбуд-8"</t>
  </si>
  <si>
    <t>Реконструкція покрівлі ЗОШ №59</t>
  </si>
  <si>
    <t>реконструкція</t>
  </si>
  <si>
    <t>ТОВ"АРХ ДИЗАЙН"</t>
  </si>
  <si>
    <t>ПП "МОНТАЖ-ТЕХНОЛОГІЯ"</t>
  </si>
  <si>
    <t>ТОВ Інститут Градпроект</t>
  </si>
  <si>
    <t>вул.Світанкова, 1-а</t>
  </si>
  <si>
    <t>Нове будівництво спортивного майданчика для міні-футболу із штучним покриттям по вул.Світанкова, 1-а у м.Миколаєві Миколаївської області</t>
  </si>
  <si>
    <t>ТОВ"УРБАН КОНСТРАКТ", ТОВ "Промбуд 2"</t>
  </si>
  <si>
    <t>вул.Курортна, 2-а</t>
  </si>
  <si>
    <t>Нове будічництво спортивного майданчика для міні-футболу із штучним покриттям по вул.Курортна, 2-а у м.Миколаєві Миколаївської області</t>
  </si>
  <si>
    <t xml:space="preserve"> по вул. Чкалова від буд.№1/2 до вул. Рюміна;  по вул.Дунаєва від вул.Андрєєва-Палагнюка до вул.Рюміна; по вул.Сінна від буд.№10/1 до вул.Рюміна; по вул.Андрєєва-Палагнюка від буд.№1/2 до вул.Дунаєва; по вул.Рюміна від вул.Чкалова до існуючого колодязя на мережі напроти буд.№16</t>
  </si>
  <si>
    <t>ТОВ"СІТІ ІНВЕСТМЕНТДЕВЕЛОПМЕНТ</t>
  </si>
  <si>
    <t xml:space="preserve"> вул. 9 Поздовжня, 10-А</t>
  </si>
  <si>
    <t>Реконструкція  кармана булі будівлі по вул. 9 Поздовжня, 10-А, у тому числі проектно-вишукувальні роботи та експертиза</t>
  </si>
  <si>
    <t>від Широкобальського шляхопроводу до вул. Гагаріна</t>
  </si>
  <si>
    <t>ТОВ Південна євр.компанія</t>
  </si>
  <si>
    <t xml:space="preserve">від міського автовокзалу до вул. Гагаріна </t>
  </si>
  <si>
    <t>Нове будівництво тролейбусної лінії по пр. Богоявленському від міського автовокзалу до вул. Гагаріна в м.Миколаєві, в т.ч. проектно-вишукувальні роботи та експертиза</t>
  </si>
  <si>
    <t>вул.Шевченка, 19-А</t>
  </si>
  <si>
    <t>ТОВ АБК "Завтра", ТОВ "ТОРГПРОМ-ЮГ"</t>
  </si>
  <si>
    <t>вул. Квітнева, 4</t>
  </si>
  <si>
    <t>Капітальний ремонт будівлі ДНЗ №66 по вул. Квітнева, 4, Миколаїв</t>
  </si>
  <si>
    <t>капітальний ремонт з ПКД та експертиза</t>
  </si>
  <si>
    <t>Експертний звіт від 13.12.2017 №15-0671-17 ФОП Любенко І.В.</t>
  </si>
  <si>
    <t>Експертний звіт від 20.12.2017 №15-0707-17 ТОВ "ІНПРОЕКТБУД"</t>
  </si>
  <si>
    <t>Експертний звіт від 26.04.2018 №4652/е/17
ТОВ "ПІВДЕНЬБУД МИКОЛАЇВ ЛТД"
ФОП Мовенко С.М.
ФОП Нуждов П.А.</t>
  </si>
  <si>
    <t>ТОВ "ЦБІ"</t>
  </si>
  <si>
    <t>Експертний звіт від 25.01.2018 №ЕК-0530/12-17 ТОВ "ГРАДБУД-ГБ"
ТОВ "Голден-Буд" ФОП Мовенко С.Н</t>
  </si>
  <si>
    <t>Експертний звіт №15-0226-18 від 14.09.18
ТОВ "ЮЖНИЙ ГОРОД"</t>
  </si>
  <si>
    <t>Експертний звіт №15-0267-18 від 30.08.18
ТОВ "АБ Масив"</t>
  </si>
  <si>
    <t>Експертний звіт №15-0418-18 від 06.12.18                                              ТОВ "АБ Масив"</t>
  </si>
  <si>
    <t>Експертний звіт №15-0402-18 (15-0121-18) від 08.10.18
ТОВ "ЮЖНИЙ ГОРОД"</t>
  </si>
  <si>
    <t>ТОВ "ГРАДБУД-ГБ"Експертний звіт від 24.09.2018 № ЕК-0616/03-18</t>
  </si>
  <si>
    <t>ФОП Павлов Андрій Анатолійович</t>
  </si>
  <si>
    <t>ФОП Нуждов Павло Анатолійович</t>
  </si>
  <si>
    <t>Експертний звіт від 27.12.2017 №15-0712-17 ТОВ "ЮЖНИЙ ГОРОД"</t>
  </si>
  <si>
    <t>Експертний звіт від 05.09.2018 №5169/е/17 ФОП Нуждов Павло Анатолійович</t>
  </si>
  <si>
    <t>ФОП Канівченко В.Г.
ТОВ БК Будремконструкція
ФОП Мовенко С.М.</t>
  </si>
  <si>
    <t>ФОП Канівченко В.Г.
ФОП Ястреб Г.А.
ФОП Мовенко С.М.</t>
  </si>
  <si>
    <t>м. Миколаїв, вул. Генерала Карпенка, 42</t>
  </si>
  <si>
    <t>вул. Генерала Карпенка, 42</t>
  </si>
  <si>
    <t>м. Миколаїв, вул. Космонавтів, 59 а</t>
  </si>
  <si>
    <t>вул. Космонавтів, 59 а</t>
  </si>
  <si>
    <t>м. Миколаїв, вул. Лазурна, 28</t>
  </si>
  <si>
    <t>вул. Лазурна, 28</t>
  </si>
  <si>
    <t>м. Миколаїв, вул. Галини Петрової, 18</t>
  </si>
  <si>
    <t>вул. Галини Петрової, 18</t>
  </si>
  <si>
    <t>м. Миколаїв, вул. Ольжича, 1а</t>
  </si>
  <si>
    <t>вул. Ольжича, 1а</t>
  </si>
  <si>
    <t>м. Миколаїв, вул. Ольжича, 1б</t>
  </si>
  <si>
    <t>вул. Ольжича, 1б</t>
  </si>
  <si>
    <t>м. Миколаїв, вул. Ольжича, 1в</t>
  </si>
  <si>
    <t>вул. Ольжича, 1в</t>
  </si>
  <si>
    <t>м. Миколаїв, вул. Новозаводська, 8</t>
  </si>
  <si>
    <t xml:space="preserve"> вул. Новозаводська, 8</t>
  </si>
  <si>
    <t>м. Миколаїв, вул. Крилова, 13</t>
  </si>
  <si>
    <t>вул. Крилова, 13</t>
  </si>
  <si>
    <t>ТОВ "АРХ ДИЗАЙН"</t>
  </si>
  <si>
    <t>м. Миколаїв, вул. Лазурна, 36</t>
  </si>
  <si>
    <t>вул. Лазурна, 36</t>
  </si>
  <si>
    <t>м. Миколаїв, вул. Чайковського, 25</t>
  </si>
  <si>
    <t>вул. Чайковського, 25</t>
  </si>
  <si>
    <t>м. Миколаїв, вул. Космонавтів, 148</t>
  </si>
  <si>
    <t>вул. Космонавтів, 148</t>
  </si>
  <si>
    <t>м. Миколаїв, вул. Космонавтів, 150</t>
  </si>
  <si>
    <t>вул. Космонавтів, 150</t>
  </si>
  <si>
    <t>м. Миколаїв, вул. Крилова, 54</t>
  </si>
  <si>
    <t>вул. Крилова, 54</t>
  </si>
  <si>
    <t>м. Миколаїв, вул. Лазурна, 42</t>
  </si>
  <si>
    <t>вул. Лазурна, 42</t>
  </si>
  <si>
    <t>м. Миколаїв, вул. Погранична, 80 А</t>
  </si>
  <si>
    <t xml:space="preserve"> вул. Погранична, 80 А</t>
  </si>
  <si>
    <t>м. Миколаїв, вул. Терасна, 14</t>
  </si>
  <si>
    <t>вул. Терасна, 14</t>
  </si>
  <si>
    <t>м. Миколаїв, вул. Курортна, 3 Б</t>
  </si>
  <si>
    <t xml:space="preserve"> вул. Курортна, 3 Б</t>
  </si>
  <si>
    <t>м. Миколаїв, вул. Дачна, 13 А</t>
  </si>
  <si>
    <t>вул. Дачна, 13 А</t>
  </si>
  <si>
    <t>м. Миколаїв, Проспект Героїв України, 75 В</t>
  </si>
  <si>
    <t xml:space="preserve"> Проспект Героїв України, 75 В</t>
  </si>
  <si>
    <t>м. Миколаїв, вул. Озерна, 15 Б</t>
  </si>
  <si>
    <t xml:space="preserve"> вул. Озерна, 15 Б</t>
  </si>
  <si>
    <t>м. Миколаїв, вул. Озерна, 15 В</t>
  </si>
  <si>
    <t>вул. Озерна, 15 В</t>
  </si>
  <si>
    <t>м. Миколаїв, вул. Генерала Карпенка, 9</t>
  </si>
  <si>
    <t>вул. Генерала Карпенка, 9</t>
  </si>
  <si>
    <t>м. Миколаїв, провул. Першотравневий, 63</t>
  </si>
  <si>
    <t>провул. Першотравневий, 63</t>
  </si>
  <si>
    <t>м. Миколаїв, вул. Райдужна, 30</t>
  </si>
  <si>
    <t>вул. Райдужна, 30</t>
  </si>
  <si>
    <t>м. Миколаїв, вул. Вінграновського, 43</t>
  </si>
  <si>
    <t xml:space="preserve"> вул. Вінграновського, 43</t>
  </si>
  <si>
    <t>м. Миколаїв, пр. Богоявленський, 39</t>
  </si>
  <si>
    <t>пр. Богоявленський, 39</t>
  </si>
  <si>
    <t>м. Миколаїв, вул. Миколаївська, 28</t>
  </si>
  <si>
    <t>вул. Миколаївська, 28</t>
  </si>
  <si>
    <t>м. Миколаїв, пр. Богоявленський, 55</t>
  </si>
  <si>
    <t>пр. Богоявленський, 55</t>
  </si>
  <si>
    <t>м. Миколаїв, вул. Генерала Карпенка, 51</t>
  </si>
  <si>
    <t>вул. Генерала Карпенка, 51</t>
  </si>
  <si>
    <t>м. Миколаїв,  вул. Космонавтів, 68 А</t>
  </si>
  <si>
    <t xml:space="preserve"> вул. Космонавтів, 68 А</t>
  </si>
  <si>
    <t>м. Миколаїв, вул. Лазурна, 24</t>
  </si>
  <si>
    <t>вул. Лазурна, 24</t>
  </si>
  <si>
    <t>м. Миколаїв, вул. Лазурна, 24 А</t>
  </si>
  <si>
    <t xml:space="preserve"> вул. Лазурна, 24 А</t>
  </si>
  <si>
    <t>м. Миколаїв, пр. Богоявленський, 37</t>
  </si>
  <si>
    <t>пр. Богоявленський, 37</t>
  </si>
  <si>
    <t>м. Миколаїв, вул. Олійника, 3</t>
  </si>
  <si>
    <t>вул. Олійника, 3</t>
  </si>
  <si>
    <t>м. Миколаїв, вул. Космонавтів, 82</t>
  </si>
  <si>
    <t>вул. Космонавтів, 82</t>
  </si>
  <si>
    <t>м. Миколаїв, вул. Будівельників, 18 А</t>
  </si>
  <si>
    <t>вул. Будівельників, 18 А</t>
  </si>
  <si>
    <t>м. Миколаїв, пр. Богоявленський, 33</t>
  </si>
  <si>
    <t xml:space="preserve"> пр. Богоявленський, 33</t>
  </si>
  <si>
    <t>м. Миколаїв, вул. Миколаївська, 32</t>
  </si>
  <si>
    <t>вул. Миколаївська, 32</t>
  </si>
  <si>
    <t>м. Миколаїв, вул. Миколаївська, 36</t>
  </si>
  <si>
    <t>вул. Миколаївська, 36</t>
  </si>
  <si>
    <t xml:space="preserve"> м. Миколаїв,вул. 4 Поздовжня, 87</t>
  </si>
  <si>
    <t>вул. 4 Поздовжня, 87</t>
  </si>
  <si>
    <t>м. Миколаїв, вул. Лазурна, 24 Б</t>
  </si>
  <si>
    <t>вул. Лазурна, 24 Б</t>
  </si>
  <si>
    <t>м. Миколаїв, вул. Лазурна, 18 А</t>
  </si>
  <si>
    <t xml:space="preserve"> вул. Лазурна, 18 А</t>
  </si>
  <si>
    <t xml:space="preserve"> м. Миколаїв,пр. Богоявленський, 293</t>
  </si>
  <si>
    <t>пр. Богоявленський, 293</t>
  </si>
  <si>
    <t>м. Миколаїв, вул. Океанівська, 8</t>
  </si>
  <si>
    <t xml:space="preserve"> вул. Океанівська, 8</t>
  </si>
  <si>
    <t>м. Миколаїв, вул. Велика Морська, 7</t>
  </si>
  <si>
    <t>вул. Велика Морська, 7</t>
  </si>
  <si>
    <t xml:space="preserve"> м. Миколаїв, вул. Будівельників, 18</t>
  </si>
  <si>
    <t xml:space="preserve"> вул. Будівельників, 18</t>
  </si>
  <si>
    <t>м. Миколаїв,  вул. Велика Морська, 22</t>
  </si>
  <si>
    <t xml:space="preserve"> вул. Велика Морська, 22</t>
  </si>
  <si>
    <t>м. Миколаїв, вул. Південна, 31 Б</t>
  </si>
  <si>
    <t>вул. Південна, 31 Б</t>
  </si>
  <si>
    <t>м. Миколаїв, вул. Вінграновського, 41</t>
  </si>
  <si>
    <t>вул. Вінграновського, 41</t>
  </si>
  <si>
    <t>м. Миколаїв, вул. Космонавтів, 142 В</t>
  </si>
  <si>
    <t>вул. Космонавтів, 142 В</t>
  </si>
  <si>
    <t>м. Миколаїв, вул. Космонавтів, 59 А</t>
  </si>
  <si>
    <t>вул. Космонавтів, 59 А</t>
  </si>
  <si>
    <t>м. Миколаїв, вул. Георгія Гонгадзе, 30</t>
  </si>
  <si>
    <t>вул. Георгія Гонгадзе, 30</t>
  </si>
  <si>
    <t>м. Миколаїв, вул. Олега Григор’єва, 10 Б</t>
  </si>
  <si>
    <t>вул. Олега Григор’єва, 10 Б</t>
  </si>
  <si>
    <t>м. Миколаїв,  вул. Океанівська, 38А</t>
  </si>
  <si>
    <t xml:space="preserve"> вул. Океанівська, 38А</t>
  </si>
  <si>
    <t>м. Миколаїв, вул. Космонавтів, 58</t>
  </si>
  <si>
    <t>вул. Космонавтів, 58</t>
  </si>
  <si>
    <t>м. Миколаїв, вул. Лазурна, 30 А</t>
  </si>
  <si>
    <t>вул. Лазурна, 30 А</t>
  </si>
  <si>
    <t>м. Миколаїв, вул. Київська, 6</t>
  </si>
  <si>
    <t>вул. Київська, 6</t>
  </si>
  <si>
    <t>м. Миколаїв, вул. Чайковського, 27</t>
  </si>
  <si>
    <t>вул. Чайковського, 27</t>
  </si>
  <si>
    <t>м. Миколаїв, вул. Космонавтів, 142 А</t>
  </si>
  <si>
    <t xml:space="preserve"> вул. Космонавтів, 142 А</t>
  </si>
  <si>
    <t>м. Миколаїв, вул. Космонавтів, 142 Б</t>
  </si>
  <si>
    <t>вул. Космонавтів, 142 Б</t>
  </si>
  <si>
    <t>м. Миколаїв, вул. Херсонське шосе, 38</t>
  </si>
  <si>
    <t>вул. Херсонське шосе, 38</t>
  </si>
  <si>
    <t>м. Миколаїв,  вул. Херсонське шосе, 30</t>
  </si>
  <si>
    <t xml:space="preserve"> вул. Херсонське шосе, 30</t>
  </si>
  <si>
    <t>м. Миколаїв,  вул. Озерна, 19 А</t>
  </si>
  <si>
    <t xml:space="preserve"> вул. Озерна, 19 А</t>
  </si>
  <si>
    <t>м. Миколаїв, вул. Айвазовського, 5 А</t>
  </si>
  <si>
    <t>вул. Айвазовського, 5 А</t>
  </si>
  <si>
    <t>м. Миколаїв, вул. 5 Слобідська, 76</t>
  </si>
  <si>
    <t xml:space="preserve"> вул. 5 Слобідська, 76</t>
  </si>
  <si>
    <t>м. Миколаїв, вул. Океанівська, 32В</t>
  </si>
  <si>
    <t>вул. Океанівська, 32В</t>
  </si>
  <si>
    <t>м. Миколаїв,  вул. Океанівська, 22</t>
  </si>
  <si>
    <t xml:space="preserve"> вул. Океанівська, 22</t>
  </si>
  <si>
    <t>м. Миколаїв, вул. Океанівська, 50</t>
  </si>
  <si>
    <t>вул. Океанівська, 50</t>
  </si>
  <si>
    <t>м. Миколаїв,  вул. Космонавтів, 138Б</t>
  </si>
  <si>
    <t xml:space="preserve"> вул. Космонавтів, 138Б</t>
  </si>
  <si>
    <t xml:space="preserve"> м. Миколаїв, вул. Електрона, 56А</t>
  </si>
  <si>
    <t>вул. Електрона, 56А</t>
  </si>
  <si>
    <t>м. Миколаїв, вул. Електрона, 61</t>
  </si>
  <si>
    <t xml:space="preserve"> вул. Електрона, 61</t>
  </si>
  <si>
    <t>м. Миколаїв, вул. Глінки, 6</t>
  </si>
  <si>
    <t>вул. Глінки, 6</t>
  </si>
  <si>
    <t>Додаткова сума</t>
  </si>
  <si>
    <t xml:space="preserve"> м. Миколаїв, вул. 9-та Поздовжня, 10</t>
  </si>
  <si>
    <t>загальноосвітня школа І-ІІІ ст. № 46 за адресою: м. Миколаїв, вул. 9-та Поздовжня, 10</t>
  </si>
  <si>
    <t xml:space="preserve">Капітальний ремонт в частині заміни вікон </t>
  </si>
  <si>
    <t>м. Миколаїв, вул. Привільна, 134/1</t>
  </si>
  <si>
    <t>бібліотека-філія № 9 Центральної бібліотеки ім. М.Л. Кропивницького ЦБС для дорослих  м. Миколаєва, за адресою: м. Миколаїв, вул. Привільна, 134/1</t>
  </si>
  <si>
    <t>ТОВ "Старелекто" ТОВ "Полюс-Юг Компані"</t>
  </si>
  <si>
    <t>м. Миколаїв, вул. Космонавтів</t>
  </si>
  <si>
    <t>вул. Космонавтів</t>
  </si>
  <si>
    <t>ТОВ "Лайтінг технолоджи солюшнс"</t>
  </si>
  <si>
    <t>м. Миколаїв, вул. Турбінна</t>
  </si>
  <si>
    <t>вул. Турбінна</t>
  </si>
  <si>
    <t>ФОП Павлов П.А. Е.з.філ.ДП"Укрдержбудексп.у м.Мик." 15-0468-18(15-0751-17)в.21.11.2018</t>
  </si>
  <si>
    <t>Капітальний ремонт фасадів з утепленням</t>
  </si>
  <si>
    <t xml:space="preserve">м. Миколаїв, вул. Адміральська, 6 </t>
  </si>
  <si>
    <t>КЗ ММР ЦПМСД №4 м. Миколаєва Миколаївської області за адресою: вул. Адміральська, 6 м. Миколаїв, Миколаївської області</t>
  </si>
  <si>
    <t>Разом по спеціальному фонду:</t>
  </si>
  <si>
    <t>ВСЬОГО</t>
  </si>
  <si>
    <t xml:space="preserve">            
КП"МИКОЛАЇВЛIФТ"              </t>
  </si>
  <si>
    <t>модерніз.вузл.та облад. ліф.ж/б,в.Декабристів,25(п.1) м.Мик.</t>
  </si>
  <si>
    <t>кап.рем.вуз.та обл.ліфта ж/б вул.Шосейна,11 м.Мик.за11.18р.</t>
  </si>
  <si>
    <t>кап.рем.вуз.та обл.ліфта ж/б вул.Океанівська,40-В п.2 м.Мик.за11.18р.</t>
  </si>
  <si>
    <t>кап.післяек.рем.вуз.та обл.ліфт.ж/б в.Лазурна,42(п.1,п.2) м.Мик.за 11.18р.</t>
  </si>
  <si>
    <t>кап.післяек.рем.вуз.та обл.ліфт. ж/б в.Айвазовського,5А(п.2) м.Мик.за 12.18р.</t>
  </si>
  <si>
    <t>модерніз.вуз.та обл.ліфт.ж/б в.Нікольс.,80(п.2)м.Мик.за 12.18р.</t>
  </si>
  <si>
    <t>кап.рем.вуз.та обл.ліфт.ж/б в.Лазурна,42-а (п.2) м.Мик.за 12.18р.</t>
  </si>
  <si>
    <t>кап.рем.вуз.та обл.ліфт.ж/б в.Лазурна,30(п.4) м.Мик.за 12.18р.</t>
  </si>
  <si>
    <t>кап.рем.вуз.та обл.ліфт.ж/б в.Айвазовського,6 м.Мик.за 12.18р.</t>
  </si>
  <si>
    <t>кап.рем.вуз.та обл.ліфт.ж/б в.Защука,25(п.1) м.Мик.за 12.18р.</t>
  </si>
  <si>
    <t>кап.рем.вуз.та обл.ліфт.ж/б в.6Слоб.,7(п.1,п.2) м.Мик.за 12.18р.</t>
  </si>
  <si>
    <t xml:space="preserve">
ТОВ"ЦЕНТРЛІФТ"              </t>
  </si>
  <si>
    <t>кап.рем.вуз.та обл.ліфт. ж/б вул.Архіт. Старова,10-г(п.1) м.Мик.</t>
  </si>
  <si>
    <t>кап.рем.вуз.та обл.ліфт. ж/б пр.Гер.Укр.,103(пасаж.,вантажопас.) м.Мик.</t>
  </si>
  <si>
    <t>кап.рем.вуз.та обл.ліфт. ж/б вул.Ізмалкова,7(п.1) м.Мик.за11.18р.</t>
  </si>
  <si>
    <t>кап.рем.вузл.та обл.ліфт.ж/б пр.Миру,72 (вантажопас.)м.Мик.за11.18</t>
  </si>
  <si>
    <t>кап.рем.вуз.та обл.ліфт.ж/б в.Космонавтів,53(п.3,л.Б)м.Мик.за11.18</t>
  </si>
  <si>
    <t>кап.рем.вуз.та обл.ліфт.ж/б в.11Поздовжня,31-А(п.4)м.Мик.за12.18</t>
  </si>
  <si>
    <t>кап.рем.вуз.та обл.ліфт.ж/б пр.Миру,72(пас.)м.Мик.за12.18</t>
  </si>
  <si>
    <t>кап.рем.вуз.та обл.ліфт.ж/б вул.Казарського,8 (п.2) м.Мик.за12.18</t>
  </si>
  <si>
    <t>кап.рем.вуз.та обл.ліфт.ж/б пр.Миру,25 (п.2) м.Мик.за12.18;</t>
  </si>
  <si>
    <t>кап.рем.вуз.та обл.ліфт.ж/б пр.Миру,56 (п.4) м.Мик.за12.18;</t>
  </si>
  <si>
    <t>кап.рем.вуз.та обл.ліфт.ж/б пр.Миру,23-а (п.1) м.Мик.за12.18</t>
  </si>
  <si>
    <t>кап.післяек.рем.вуз.та обл.ліфт.ж/б пр.Центр,263(п1,п2,п3,п4) м.Мик.за 12.18р.</t>
  </si>
  <si>
    <t xml:space="preserve">              
ФОП Новіков О. П.           </t>
  </si>
  <si>
    <t>ПКД"Кап.рем.вуз.та обл.ліфт.у ж/б м.Мик."</t>
  </si>
  <si>
    <t>ПКД Модерніз. вузлів та обл.ліфта ж/б зг. перел.об'єктів м.Мик. за 12.18р.</t>
  </si>
  <si>
    <t>ПКД Модерніз. вузлів та обл.ліфта ж/б  в.Нікольська, 80 м.Мик. за 12.18р.</t>
  </si>
  <si>
    <t>експ.кошт.ч.пр.док."К.рем.вуз.та обл.ліфт.ж/б в.Январьова,28(п.1,п.2,п.3,п.4) м.Мик.</t>
  </si>
  <si>
    <t>ФIЛIЯ ДП "УКРДЕРЖБУДЕКСПЕРТИЗА</t>
  </si>
  <si>
    <t>кап.рем.м"як.покр.ж/б по пр.Богоявленський,6 м.Мик.</t>
  </si>
  <si>
    <t xml:space="preserve">            
ТОВ "АВТОБІОЛЮКС"             </t>
  </si>
  <si>
    <t>ПКД та пров.експ.з посл.відш.вит. Кап.р.покр.ж/б в.Нікольс.16 м.Мик.</t>
  </si>
  <si>
    <t>ПКД та пров.експ.з посл.відш. вит.Кап.р.покр.ж/б в.Безіменна,78 м.Мик.</t>
  </si>
  <si>
    <t>Авт.нагл.Кап.рем.покр.ж/б вул.Миколаївська,8а м.Мик.за 09.18р.</t>
  </si>
  <si>
    <t>Авт.нагл.Кап.рем.покр.ж/б вул.Океанівська,38 м.Мик.за 09.18р.</t>
  </si>
  <si>
    <t>ПКД та пров.експ.з посл.відш. вит.К.р.покр.ж/б в.Безімен.97 м.Мик.</t>
  </si>
  <si>
    <t xml:space="preserve">              
ТОВ "Проект-комплект"         </t>
  </si>
  <si>
    <t>ПКД та пров.експ.з посл.відш.вит. К.р.покр.ж/б в.Терасна,3 м.Мик.</t>
  </si>
  <si>
    <t>ПКД та пров.експ.з посл.відш. вит.К.р.покр.ж/б в.Безімен.74 м.Мик.</t>
  </si>
  <si>
    <t>ПКД та пров.експ.з посл.відш.вит.КАП.р .покр.ж/б пр.Центральн.,22б м.Мик.</t>
  </si>
  <si>
    <t xml:space="preserve">              
ТОВ"ДІ КОР-БУД"               </t>
  </si>
  <si>
    <t>кап.рем.покрівлі ж/б по в.Космонавтів,80 м.Мик.</t>
  </si>
  <si>
    <t xml:space="preserve">ТОВ Будтехнологія-МК </t>
  </si>
  <si>
    <t>кап.рем.покрівлі ж/б по в.Январьова,28 м.Мик.</t>
  </si>
  <si>
    <t>кап.рем.покрівлі ж/б по пр.Миру,46А м.Мик.за11.18р.</t>
  </si>
  <si>
    <t>кап.рем. м'як. покрівлі ж/б по пр.Центральний,21 м.Мик.за12.18р.</t>
  </si>
  <si>
    <t>кап.рем.покрівлі ж/б по в.1-а Лінія,1 м.Мик.за12.18р.</t>
  </si>
  <si>
    <t xml:space="preserve">ТОВ ЖИТЛОРЕМБУД-НІКА          </t>
  </si>
  <si>
    <t>кап.рем.м'як.покр.ж/б по пр.Богоявленському,325/3,м.Мик.</t>
  </si>
  <si>
    <t>ТОВ МАНАХ НИКСТРОЙ</t>
  </si>
  <si>
    <t>кап.рем.покр.ж/б по вул.Леваневців,10 м.Мик.</t>
  </si>
  <si>
    <t>кап.рем.м"як.покр.ж/б по вул.Лазурна,38А в м.Мик.</t>
  </si>
  <si>
    <t>кап.рем.покр.ж/б по вул.Нікольська,16 м.Мик.за 10.18р.</t>
  </si>
  <si>
    <t>кап.рем.м"як.покр.ж/б по пр.Гер.України,15-В м.Мик.за 10.2018;</t>
  </si>
  <si>
    <t>кап.рем.покр.ж/б по вул.Лазурна,10-Б м.Мик.за 12.18р.</t>
  </si>
  <si>
    <t>кап.рем.покрівлі ж/б по вул.Сінна,33-Б м.Мик.за11.18р.</t>
  </si>
  <si>
    <t>ТОВ"ІТЦ"Миколаївбуд"</t>
  </si>
  <si>
    <t>кап.рем.покр.ж/б по пр.Богоявленськ.,18/1 м.Мик.за 12.18р.</t>
  </si>
  <si>
    <t>ТОВ"БК-Базіс"</t>
  </si>
  <si>
    <t>кап.рем.покр.ж/б по в.Погранична150/9 м.Мик за 11.18р.</t>
  </si>
  <si>
    <t>ТОВ"ЕЛІТ БУД-ГАРАНТ"</t>
  </si>
  <si>
    <t>кап.рем.покр.ж/б по в.Погранична150/6 м.Мик за 11.18р.</t>
  </si>
  <si>
    <t>кап.рем.м"як.покр.ж/б пров.Кобера,15-А в м.Мик.за10.18р.</t>
  </si>
  <si>
    <t xml:space="preserve">ТОВ"Мастерстройсервис"        </t>
  </si>
  <si>
    <t xml:space="preserve">          
ТОВ"Південьторгмонтаж"    </t>
  </si>
  <si>
    <t>кап.рем.покрівлі ж/б по в.Вінграновського,56 м.Мик.</t>
  </si>
  <si>
    <t>кап.рем.скатн.покр.ж/б вул.Спаська,6 м.Мик.</t>
  </si>
  <si>
    <t>кап.рем.покрівлі ж/б по в.Космонавтів,148Г м.Мик.</t>
  </si>
  <si>
    <t>кап.рем.покрівлі ж/б по вул.Громадянська,44 м.Мик.за11.18р.</t>
  </si>
  <si>
    <t>кап.рем.покр.ж/б по в.Космонавтів,142 м.Мик.за11.18р.</t>
  </si>
  <si>
    <t>кап.рем.покрівлі ж/б по пр.Гер.України,65 м.Мик.за11.18р.</t>
  </si>
  <si>
    <t>кап.рем.покр.ж/б по в.Миколаївська,4а м.Мик.за11.18р.</t>
  </si>
  <si>
    <t>кап.рем.покр.ж/б по в.Вінграновського,45 м.Мик.за12.18р.</t>
  </si>
  <si>
    <t>кап.рем.покр.ж/б по в.Космонавтів,96 м.Мик.за12.18р.</t>
  </si>
  <si>
    <t>кап.рем.покр.ж/б по в.Космонавтів,148 Б м.Мик.за12.18р.</t>
  </si>
  <si>
    <t>кап.рем.покр.ж/б по в.Чайковськ.,31 м.Мик.</t>
  </si>
  <si>
    <t xml:space="preserve">              
ТОВ"СПІК МК"                  </t>
  </si>
  <si>
    <t>кап.рем.ск.пок.ж/б в.Олійника,32 м.Мик.</t>
  </si>
  <si>
    <t xml:space="preserve">            
ТОВ"СПІК МК"                  </t>
  </si>
  <si>
    <t>кап.рем.покр.ж/б ОСББ"Адм.Макар.-14"по в.Адм.Макар,14 м.Мик.</t>
  </si>
  <si>
    <t xml:space="preserve">кап.рем.покр.ж/б по пр.Централ.,22Б м.Мик </t>
  </si>
  <si>
    <t xml:space="preserve">кап.рем.скат.покр.ж/б по в.Миколаївськ.,11 м.Мик </t>
  </si>
  <si>
    <t xml:space="preserve">кап.рем.покр.ж/б по пр.Централ.,22А м.Мик </t>
  </si>
  <si>
    <t xml:space="preserve">ТОВ"СТРОЙ-ТОС"                </t>
  </si>
  <si>
    <t>кап.рем.ск.покрівлі ж/б по вул.В.Морська,65 в м.Мик.</t>
  </si>
  <si>
    <t xml:space="preserve">           
ТОВ"СТРОЙ-ТОС"                </t>
  </si>
  <si>
    <t>кап.рем.покрівлі ж/б по пр.Миру,44 м.Мик.</t>
  </si>
  <si>
    <t xml:space="preserve">            
ТОВ"ФАСАД-ЦЕНТР"              </t>
  </si>
  <si>
    <t>кап.рем.покр.ж/б по вул.Арх.Старова,10А м.Мик.за11.18р.</t>
  </si>
  <si>
    <t xml:space="preserve">ПП "Агро Рост Буд" </t>
  </si>
  <si>
    <t>кап.рем.м"як.покр.ж/б по пр.Гер.України,23/1 м.Мик.за11.18р.</t>
  </si>
  <si>
    <t>кап.рем.покр.ж/б по вул.Херсон.шосе,46 м.Мик.за11.18р.</t>
  </si>
  <si>
    <t>кап.рем.скатн.покрівлі ж/б по вул.Шосейна,12 в м.Мик.за12.18р.</t>
  </si>
  <si>
    <t>кап.рем.покр.ж/б по вул.О.Ольжича,5а м.Мик.за12.18р.</t>
  </si>
  <si>
    <t>кап.рем.покр.ж/б по вул.Космонавтів,146А м.Мик.за12.18р.</t>
  </si>
  <si>
    <t>кап.рем.покр.ж/б по вул.Космонавтів,146Б м.Мик.за12.18р.</t>
  </si>
  <si>
    <t>кап.рем.покр.малосім.гуртож. в.Потьмкінська,131-В,бл.2м.Мик.за 10.18р;</t>
  </si>
  <si>
    <t>ТОВ "Альянс Промстрой"</t>
  </si>
  <si>
    <t>кап.рем.покр.ж/б пр.Богоявленськ.,285 м.Мик.за 12.18р.</t>
  </si>
  <si>
    <t>кап.рем.покр.ж/б по в.Миколаївськ.,8а м.Мик за 11.18р.</t>
  </si>
  <si>
    <t>ТОВ "ЗЛАТА БУД-М"</t>
  </si>
  <si>
    <t>кап.рем.скат.покрівлі ж/б по пров.Мічуріна,6 м.Мик.за10.18р.</t>
  </si>
  <si>
    <t xml:space="preserve">ТОВ"ПІВДЕНЬ-БУДСЕРВІС"  </t>
  </si>
  <si>
    <t>кап.рем.м"як.покрівлі ж/б по вул.Чкалова,98-Б м.Мик.за12.18р.</t>
  </si>
  <si>
    <t>кап.рем.покр.багатакв.ж/б по пров.Парусному,9Б в м.Мик.за 12.18;</t>
  </si>
  <si>
    <t>ТОВ"Росмакс-Сервіс"</t>
  </si>
  <si>
    <t>кап.рем.м"як.покрівлі ж/б по в.12-аПоздовжня,5 м.Мик.за12.18р.</t>
  </si>
  <si>
    <t xml:space="preserve">ТОВ"ТД"ВІЛЛА БУД" </t>
  </si>
  <si>
    <t>кап.рем.покр.ж/б по в.В'ячеславаЧорновола,15 м.Мик за 12.18р.</t>
  </si>
  <si>
    <t>ТОВ"Тавріямонолітбуд"</t>
  </si>
  <si>
    <t>кап.рем.покр.ж/б по в.В'ячеславаЧорновола,13 м.Мик за 12.18р.</t>
  </si>
  <si>
    <t>пров.експ.кошт.док.роб.пр."Кап.рем.покр.ж/б в.1-а Лінія,1 м.Мик."за12.18р.</t>
  </si>
  <si>
    <t>ТОВ"Експертиза ЗО"</t>
  </si>
  <si>
    <t xml:space="preserve">
ФОП ГРИГОРЕНКО Д.С.        </t>
  </si>
  <si>
    <t>Авт.нагл.Кап.рем.покр.ж/б вул.Космонавтів,80 м.Мик.за 09.18р.</t>
  </si>
  <si>
    <t>Авт.нагл.Кап.рем.м"як.покр.ж/б пр.Богоявленськ.,325/5 м.Мик.за 10.18р.</t>
  </si>
  <si>
    <t>Авт.нагл.Кап.рем.покр.ж/б вул.Леваневців,10 м.Мик.за10.18р.</t>
  </si>
  <si>
    <t>ПКД та пров.експ.Кап.рем.покр.ж/б в.Заводська,27/3 м.Мик.за10.18р.</t>
  </si>
  <si>
    <t>ПКД та пров.експ.Кап.рем.покр.ж/б в.Заводська,27/1 м.Мик.за10.18р.</t>
  </si>
  <si>
    <t>Авт.нагл.Кап.рем.скат.покр.ж/б, вул.Спаська,6 м.Мик.за11.18р.</t>
  </si>
  <si>
    <t xml:space="preserve">
ФОП ПАВЛIНОВ Ю.О.           </t>
  </si>
  <si>
    <t>Авт.нагл.Кап.рем.покр.ж/б вул.А.Олійника,38 м.Мик.за 09.18р</t>
  </si>
  <si>
    <t>Авт.нагл.Кап.рем.м"як.покр.ж/б вул.Космонавтів,138-Г м.Мик.за 09.18р.</t>
  </si>
  <si>
    <t>Авт.нагл.Кап.рем.м"як.покр.ж/б пров.Кобера,15А м.Мик.за 11.18р</t>
  </si>
  <si>
    <t>Авт.нагл.Кап.рем.покр.ж/б вул.Чайковського,31 м.Мик.за 12.18р.</t>
  </si>
  <si>
    <t>ПКД кап.рем.(протиав.роб.)мяк.покр.ж/б в.Погран.,69 м.Мик.за 12.18р.</t>
  </si>
  <si>
    <t>Авт.нагл.Кап.рем.скат.покр.ж/б вул.Миколаївська,11 м.Мик.</t>
  </si>
  <si>
    <t>ФОП Ігнатьєва Ю. О.</t>
  </si>
  <si>
    <t>Авт.нагл.Кап.рем.скат.покр.ж/б вул.Олійника,32 м.Мик.</t>
  </si>
  <si>
    <t>Авт.нагл.Кап.рем.м"як..покр.ж/б пр.Богоявленськ.,6 м.Мик.</t>
  </si>
  <si>
    <t>Авт.нагл."Кап.рем.скат.покр.ж/б провул.Мічуріна,6 м.Мик.за12.18р.</t>
  </si>
  <si>
    <t>Авт.нагл.Кап.рем.покр.6-ти під. 9-ти пов.ж/б пров.Парусний,11 м.Мик.</t>
  </si>
  <si>
    <t>ФОП Марухняк Є.М.</t>
  </si>
  <si>
    <t>Авт.нагл.Кап.рем.покр.ж/б вул.Шевченка,41 м.Мик.</t>
  </si>
  <si>
    <t>ФОП РУДЗIК Р.Д.</t>
  </si>
  <si>
    <t>ПКД та пр.експ.Кап.рем.покр.ж/б в.Дунаєва,39 м.Мик.</t>
  </si>
  <si>
    <t>Авт.нагл.Кап.рем.покр.ж/б вул.Садова,18 в м.Мик.</t>
  </si>
  <si>
    <t>Авт.нагл.Кап.рем.покр.ж/б по пр.Богоявл.,39 в м.Мик.</t>
  </si>
  <si>
    <t>ПКД та пр.експ.Кап.рем.покр.ж/б в.Одес.шосе,98-а м.Мик.за 11.18р.</t>
  </si>
  <si>
    <t>ПКД та пр.експ.Кап.рем.м"як.покр.ж/б в.Будівельн.12 м.Мик.</t>
  </si>
  <si>
    <t xml:space="preserve">  
ФОП Чечуй С. В.              </t>
  </si>
  <si>
    <t>ПКД та пр.експ.Кап.рем.м"як.покр.ж/б в.Арх.Старова,10Г м.Мик.за 09.18р.</t>
  </si>
  <si>
    <t>ПКД та пр.експ.Кап.рем.м"як.покр.ж/б пр.Центральному,21 м.Мик.за 09.18р.</t>
  </si>
  <si>
    <t>корег.ПКД"Кап.рем.покр.ж/б в.1-а Лінія,1 в м.Мик.за 12.18р.</t>
  </si>
  <si>
    <t xml:space="preserve">ТОВ"Тико-юг" </t>
  </si>
  <si>
    <t>ПКД"Кап.рем.покр.ж/б в.Космонавтів,146а м.Мик.за 10.18р.</t>
  </si>
  <si>
    <t xml:space="preserve">ТОВ АКБ"Завтра" </t>
  </si>
  <si>
    <t>ПКД та відшк.варт.експ.Кап.рем.покр.ж/б в.Погранична,246 Б м.Мик.за 10.18р.</t>
  </si>
  <si>
    <t>ПКД та від.варт.експ.Кап.рем.покр.ж/б в.Лазурна,20 м.Мик.за 10.18р.</t>
  </si>
  <si>
    <t>ПКД"Кап.рем.покр.ж/б в.Космонавтів,146Б м.Мик.за 10.18р.</t>
  </si>
  <si>
    <t>ПКДта пр.експ.з пос.відшк."Кап.рем. покр.ж/б в.О.Ольжича,5а м.Мик.за 10.18</t>
  </si>
  <si>
    <t>ПКДта пр.експ.з пос.відшк."Кап.рем.покр.ж/б в.Миколаївськ,22 м.Мик.за 11.18</t>
  </si>
  <si>
    <t>ПКД"Кап.рем.покр.ж/б в.Авангардній,51м.Мик.за 12.18р.</t>
  </si>
  <si>
    <t>ПКД"Кап.рем.покр.ж/б пр.Центр.,153 м.Мик.за 12.18р.</t>
  </si>
  <si>
    <t>ПКД"Кап.рем.покр.ж/б в.Садова,46/1 в м.Мик.за 12.18р.</t>
  </si>
  <si>
    <t xml:space="preserve">          
ТОВ "АВТОБІОЛЮКС"             </t>
  </si>
  <si>
    <t>Кап.рем.ел.мер.багатокв.ж/б в.Карпенко,57/1 ОСББ"12Сімей" м.Мик.за12.18</t>
  </si>
  <si>
    <t>ФОП Жолоб С.О.</t>
  </si>
  <si>
    <t>кап.рем.водопров.та канал.в ж/б по в.Лазурна,50А м.Мик.за11.18р.</t>
  </si>
  <si>
    <t xml:space="preserve">ФОП Жорова М. А. </t>
  </si>
  <si>
    <t>кап.рем.водопров.та канал.в ж/б по в.Лазурна,50 м.Мик.за11.18р.</t>
  </si>
  <si>
    <t>кап.рем.сист.водопост.та канал.в підв.багатопов.ж/б по в.Озерна,45,47 м.Мик.за12.18;</t>
  </si>
  <si>
    <t>кап.рем.водопр.та канал.в ж/б по в.Лазурна,52А м.Мик.за12.18р.</t>
  </si>
  <si>
    <t>ФОП Агафонова Т.О.</t>
  </si>
  <si>
    <t>кап.рем.водопр.та канал.в ж/б по в.Лазурна,52Б м.Мик.за12.18р.</t>
  </si>
  <si>
    <t>кап.рем.водопр.та канал.в ж/б по в.Лазурна,52 м.Мик.за12.18р.</t>
  </si>
  <si>
    <t>кап.рем.сис.опал.з уст.інд.теп.пунк.в ж/б по в.8Березня,14-А м.Мик.за12.18</t>
  </si>
  <si>
    <t>Югтепломер-Сервіс</t>
  </si>
  <si>
    <t>Кап.рем.мер.водопост.та водовідв.ж/б в.Робоча,11 м.Мик.за12.18</t>
  </si>
  <si>
    <t>Кап.рем.теплов.мер.до ж/б пр.Центральн.,261,263,265,267 м.Мик.за12.18;</t>
  </si>
  <si>
    <t xml:space="preserve">ТзОВ"Енергоресурс-монтаж"     </t>
  </si>
  <si>
    <t>пров.експ.кошт.част.пр.док."Кап.рем.ж/б в.Потьомкінська,28 м.Мик.Кориг."за12.18р.</t>
  </si>
  <si>
    <t>ПКД та вик.експ. Кап.рем.ж.б.по вул.Космонавтів,98 м.Мик.</t>
  </si>
  <si>
    <t>ПКД та в.експ.по К.р.ж/б в.Георг.Гонгадзе,30(Пар.Ком.30)м.Мик.</t>
  </si>
  <si>
    <t>ПКД та пр.екс.з пос.від.вит.Кап.рем. сит. вод.,кан.та вим.ж/б пр.Гер.Укр.,12м.Мик.</t>
  </si>
  <si>
    <t>Авт.нагл.Кап.рем.сист.водоп.канал.та вим.ж/б пр.Гер.України,12м.Мик.</t>
  </si>
  <si>
    <t>Кап.рем.електр.мер.ж/б пр.Богоявленський, 340/1 м.Мик.</t>
  </si>
  <si>
    <t>ТОВ "Светолюкс-Електромонтаж"</t>
  </si>
  <si>
    <t>кап.рем.зовн.та внутр.ел.мер.ж/б 1-ша в.Слобід.,122/3 м.Мик.</t>
  </si>
  <si>
    <t xml:space="preserve">ТОВ "Трендком" </t>
  </si>
  <si>
    <t>Авт.нагл.Кап.рем.зовн.та внутр.ел.-мер.ж/б в.1-ша Слобідська122/3м.Мик.</t>
  </si>
  <si>
    <t>кап.рем.9-ти поверх.ж/б вул.Погранич.,69-А(Сил.ел.обл.) м.Мик.за11.18р.</t>
  </si>
  <si>
    <t>ПКД та від.варт.експ.Кап.рем. вн.ел.мер..ж/б пр.Миру,56 м.Мик.за 12.18р.</t>
  </si>
  <si>
    <t>Авт.нагл.з Кап.рем.9-ти пов.ж/б вул.Погранична,69-А(сил.ел.обл.) м.Мик.за12.18р.</t>
  </si>
  <si>
    <t>кап.рем.внутр.електромер.ж/б по пр.Мира,56 в м.Мик.за12.18р.</t>
  </si>
  <si>
    <t xml:space="preserve">ТОВ "СтройМирИндастриз"       
</t>
  </si>
  <si>
    <t xml:space="preserve">              
ТОВ"Електрім-2000"            </t>
  </si>
  <si>
    <t>ПКД прох.експ.пр.Кап.рем.ел.мереж багатокв.ж/б в.Шосейна,58 м.Мик.</t>
  </si>
  <si>
    <t>ПКДвідшкодув.прох.експ.пр.Кап.рем.ел.мереж багатокв.ж/б в.Озерна,12 м.Мик.</t>
  </si>
  <si>
    <t>кап.рем.ел.мер.багатокв.ж/б пр.Центр.,22 м.Мик.</t>
  </si>
  <si>
    <t>ПКД Кап.рем.ел.мереж багатокв.ж/б пров.Кобера,13м.Мик.за 03.18р.</t>
  </si>
  <si>
    <t>Авт.нагл.Кап.рем.мер. водоп.багатокв. ж/б в.Чкалова82А м.Мик. за 12.18;</t>
  </si>
  <si>
    <t>Авт.нагл.Кап.рем.електр.мер.багатокв.ж/б пр.Центр,22 мМик.за 12.18</t>
  </si>
  <si>
    <t xml:space="preserve">             
ТОВ"Ніковіта-Сервіс"         </t>
  </si>
  <si>
    <t>кап.рем.мер.водоп.та водовід.баг.кв. ж/б по в.Чкалова,82а,м.Мик.</t>
  </si>
  <si>
    <t>кап.рем.сист.опал.з вст.ІТП ж/б№16по в.Г.Петров., м.Мик.</t>
  </si>
  <si>
    <t>ТОВ"ПРАЙМЕРІ-БУД"</t>
  </si>
  <si>
    <t>кап.рем.сист.опал.з вст.ІТП ж/б№18по в.Г.Петров.,м.Мик.</t>
  </si>
  <si>
    <t>кап.рем.мер.водоп.та водовід.баг.кв.ж/б по в.Чкалова,82а,м.Мик.за12.18р.</t>
  </si>
  <si>
    <t>кап.рем.сист.опал.в підв.прим.ж/б по пр.Гер.України,87 м.Мик.за 12.18</t>
  </si>
  <si>
    <t>кап.рем.сист.опал.в підв.прим.ж/б по пр.Гер.України,87б м.Мик.за 11.18</t>
  </si>
  <si>
    <t>Кап.рем.внутріш.електр.мер.ж/б в.Айвазовськ.,7 м.Мик.за11.18р.</t>
  </si>
  <si>
    <t>Кап.рем.електр.мер.ж/б пр.Богоявленський, 340/1 м.Мик.за11.18р.</t>
  </si>
  <si>
    <t>Авт.нагл.з Кап.рем.внутріш.електр.мер.ж/б в.Айвазовськ.,7 м.Мик.за12.18р.</t>
  </si>
  <si>
    <t>Авт.нагл.з Кап.рем.електр.мер.ж/б пр.Богоявленський, 340/1 м.Мик.за12.18р.</t>
  </si>
  <si>
    <t>кап.рем.елект.мер.багатокв.ж/б ОСББ"ТРАВНЕВЕ-16",в.3Поздовжня.,21 м.Мик.за12.18;</t>
  </si>
  <si>
    <t>виг.та вид.тех.ум.на водопост.та водовідв. об.:"Кап.рем.ж/б,в.Космон.,98 в м.Мик."12.18р.</t>
  </si>
  <si>
    <t xml:space="preserve">МКП "Миколаївводоканал" </t>
  </si>
  <si>
    <t>кап.рем.під"їзд.в ж/б в.Нікольська,17 м.Мик.за12.18;</t>
  </si>
  <si>
    <t>ТОВ"БУД-КОН"</t>
  </si>
  <si>
    <t>кап.рем.під"їзд.в ж/б в.Шевченка,67 м.Мик.за12.18</t>
  </si>
  <si>
    <t>ПКД"Кап.рем.із заміни вікон сход.клітин ж/б м.Мик."</t>
  </si>
  <si>
    <t>ПКД та пров.експ.Кап.рем.фасаду з утеп.стін ж/б в.Лазурна,6А м.Мик.за11.18р.</t>
  </si>
  <si>
    <t>ПКД та пров.експ."Кап.рем.із заміни вікон сход.клітин ж/б в.Г.Петрової,3 м.Мик." за11.18р.</t>
  </si>
  <si>
    <t>.ПКД та пров.експ."Кап.рем.із заміни вікон сход.клітин ж/б пр.Центральн.,184 м.Мик." за11.18р.</t>
  </si>
  <si>
    <t>ПКД та пров.експ."Кап.рем.із заміни вікон сход.клітин ж/б вул.Колодязна,10 м.Мик." за11.18р.</t>
  </si>
  <si>
    <t>ПКД та пров.експ."Кап.рем.із заміни вікон сход.клітин ж/б вул.Соборна,12 м.Мик." за11.18р.</t>
  </si>
  <si>
    <t>ПКД та пров.експ."Кап.рем.із заміни вікон сход.клітин ж/б пр.Гер.України,79А м.Мик." за11.18р</t>
  </si>
  <si>
    <t>ПКД та пров.експ."Кап.рем.із заміни вікон сход.клітин ж/б пр.Центральн.,152А м.Мик." за11.18р</t>
  </si>
  <si>
    <t>ПКД"Кап.рем.із заміни вікон сход.клітин ж/б м.Мик."зг.переліку за11.18р.</t>
  </si>
  <si>
    <t>Авт.нагл.Кап.рем.із замін вікон сход.клітин ж/б м.Мик. зг.пер. об'єкк. за 12.18р.</t>
  </si>
  <si>
    <t>Авт.нагл.Кап.рем.із замін вікон сход.клітин  ж/б м.Мик. зг.пер. об'єкк. за 12.18р</t>
  </si>
  <si>
    <t>ПКД кап.рем.вузлів та обл.ліфта ж/б вул.Океанівська,32а(п.4) м.Мик. за 12.18р.</t>
  </si>
  <si>
    <t>Авт.нагл."Кап.рем.із заміни вікон сход.клітин ж/б м.Мик." за12.18р.</t>
  </si>
  <si>
    <t>Авт.нагл."Кап.рем.із заміни вікон сход.клітин ж/б вул.Колодязна,буд.10 м.Мик." за12.18р.</t>
  </si>
  <si>
    <t>Авт.нагл."Кап.рем.із заміни вікон сход.клітин ж/б пр.Гер.України,79-а м.Мик." за12.18р.</t>
  </si>
  <si>
    <t>Авт.нагл."Кап.рем.із заміни вікон сход.клітин ж/б вул.Г.Петрової,3 м.Мик." за12.18р.</t>
  </si>
  <si>
    <t>ПКД Кап.рем.ж/б в.Потьомкінська,28 м.Мик.Кориг.за12.18р.</t>
  </si>
  <si>
    <t>ТОВ"Н.ПРОЕКТ-ТАЙМ"</t>
  </si>
  <si>
    <t>кап.рем.сист.зовн.каналіз.ж/б в.Адм.Макарова,16 м.Мик.за09.18р</t>
  </si>
  <si>
    <t>авт.нагл.Кап.рем.сист.зовн.каналіз.ж/б в.Адмір.Макарова,16 м.Мик.за 11.18р.</t>
  </si>
  <si>
    <t>Кап.рем.мер.водопост.та водовідв.ж/б пр.Центральн.,138 м.Мик.за12.18;</t>
  </si>
  <si>
    <t>ПКД кап.рем.під'їзд.в ж/б,вул.Нікольська,17 м.Мик.за 11.18р.</t>
  </si>
  <si>
    <t>ПКД кап.рем.під'їзд.ж/б,вул.Шевченка,67 м.Мик.за 11.18р.</t>
  </si>
  <si>
    <t>ПКД кап.рем.під'їзд.ж/б,вул.Вел.Морська,6 м.Мик.за 12.18р.</t>
  </si>
  <si>
    <t>ПКД та пр.експ.з пос.відш.К.р.сис.водоп.та водов.ж/б в.Колодяз.6м.Мик.за 12.18р.</t>
  </si>
  <si>
    <t xml:space="preserve">ПП"Спецмонтаж-М"  </t>
  </si>
  <si>
    <t>ПКД та пр.експ.з пос.відш.К.р.сис.опал.з уст.ІТП ж/б в.8Березня14-Ам.Мик.за 12.18р.;</t>
  </si>
  <si>
    <t>Кап.рем.ел.мер.баг.кв.ж/б вул.Озерна 12м.Мик.за10.18;</t>
  </si>
  <si>
    <t>ПрАТ"БК ЖИТЛОПРОМБУД-8"</t>
  </si>
  <si>
    <t>Кап.рем.із зам.вік.сх.кл.ж/б по вул.Набережна,7 м.Мик.за10.18р.</t>
  </si>
  <si>
    <t xml:space="preserve">ТОВ "Стеклосоюз" </t>
  </si>
  <si>
    <t>Кап.рем.із зам.вік.сх.кл.ж/б по пр.Центральний,184 м.Мик.за11.18р.</t>
  </si>
  <si>
    <t>Кап.рем.із зам.вік.сх.кл.ж/б по вул.Чкалова,буд.116 м.Мик.за12.18р.</t>
  </si>
  <si>
    <t>Кап.рем.із зам.вік.сх.кл.ж/б по вул.6 Слобідська,47 м.Мик.за12.18р.</t>
  </si>
  <si>
    <t>Кап.рем.із зам.вік.сх.кл.ж/б по вул.Г.Петрової,3 м.Мик.за12.18р.</t>
  </si>
  <si>
    <t>Кап.рем.із зам.вік.сх.кл.ж/б по вул.6 Слобідська,51 м.Мик.за12.18р.</t>
  </si>
  <si>
    <t>Кап.рем.із зам.вік.сх.кл.ж/б по вул.Чкалова,122 м.Мик.за12.18р.</t>
  </si>
  <si>
    <t>Кап.рем.із зам.вік.сх.кл.ж/б по пр.Гер.України 71 м.Мик.за12.18р.</t>
  </si>
  <si>
    <t>Кап.рем.із зам.вік.сх.кл.ж/б по пр.Гер.України 79-а м.Мик.за12.18р.</t>
  </si>
  <si>
    <t>Кап.рем.із зам.вік.сх.кл.ж/б по вул.Лазурна,50 м.Мик.за12.18р.</t>
  </si>
  <si>
    <t>Кап.рем.із зам.вік.сх.кл.ж/б по пр.Гер.України 81 м.Мик.за12.18р.</t>
  </si>
  <si>
    <t>Кап.рем.із зам.вік.сх.кл.ж/б по пр.Гер.України 77-а м.Мик.за12.18р.</t>
  </si>
  <si>
    <t>Кап.рем.із зам.вік.сх.кл.в ж.б.,пр.Центральний,189А м.Мик.за 12.18р.</t>
  </si>
  <si>
    <t>Кап.рем.із зам.вік.сх.кл.ж/б по вул.Чкалова,97 м.Мик.за12.18р.</t>
  </si>
  <si>
    <t>Кап.рем.із зам.вік.сх.кл.ж/б по пр.Гер.України,61 м.Мик.за12.18р.</t>
  </si>
  <si>
    <t>Кап.рем.із зам.вік.сх.кл.ж/б по вул.6 Слобідська,49 м.Мик.за12.18р.</t>
  </si>
  <si>
    <t>Кап.рем.із зам.вік.сх.кл.ж/б по пр.Гер.України,59-а м.Мик.за12.18р.</t>
  </si>
  <si>
    <t>Кап.рем.із зам.вік.сх.кл.ж/б по пр.Гер.України,75-а м.Мик.за12.18р</t>
  </si>
  <si>
    <t>Кап.рем.із зам.вік.сх.кл.ж/б по вул.Чкалова 98-а м.Мик.за12.18р.</t>
  </si>
  <si>
    <t>Кап.рем.із зам.вік.сх.кл.ж/б по пр.Гер.України 75-б м.Мик.за12.18р.</t>
  </si>
  <si>
    <t>Кап.рем.із зам.вік.сх.кл.ж/б по пр.Центральн.184 м.Мик.за12.18р</t>
  </si>
  <si>
    <t>Кап.рем.із зам.вік.сх.кл.ж/б по вул.Лазурна,50 А м.Мик.за12.18р.</t>
  </si>
  <si>
    <t>Кап.рем.із зам.вік.сх.кл.ж/б по вул.Колодязна,буд.8 м.Мик.за12.18р.</t>
  </si>
  <si>
    <t>Кап.рем.із зам.вік.сх.кл.ж/б по пр.Гер.України,87 м.Мик.за12.18р.</t>
  </si>
  <si>
    <t>Кап.рем.із зам.вік.сх.кл.ж/б по вул.Чкалова,99 м.Мик.за12.18р.</t>
  </si>
  <si>
    <t>Кап.рем.із зам.вік.сх.кл.ж/б по пр.Центральний,189 м.Мик.за12.18р</t>
  </si>
  <si>
    <t>Кап.рем.із зам.вік.сх.кл.ж/б по пр.Гер.України,79 м.Мик.за12.18р.</t>
  </si>
  <si>
    <t>Кап.рем.із зам.вік.сх.кл.ж/б по вул.Чкалова,112 м.Мик.за12.18р.</t>
  </si>
  <si>
    <t>Кап.рем.із зам.вік.сх.кл.ж/б по пр.Гер.України,53 м.Мик.за12.18р</t>
  </si>
  <si>
    <t>Кап.рем.із зам.вік.сх.кл.ж/б по пр.Гер.України,55 м.Мик.за12.18р.</t>
  </si>
  <si>
    <t>Кап.рем.із зам.вік.сх.кл.ж/б по пр.Гер.України,79-б м.Мик.за12.18р.</t>
  </si>
  <si>
    <t xml:space="preserve">Технагляд                     
</t>
  </si>
  <si>
    <t>"К.р.мер.зов.ос.Фл.бул.-тер.пр.пр.об.в.Наб.,Інг.сп.та Соб.пл.в Ц.р.м.М.за12.18.мМик.</t>
  </si>
  <si>
    <t xml:space="preserve">             
ТзОВ "СВІТЛО-ДИЗАЙН"           </t>
  </si>
  <si>
    <t>кап.рем.окр.вуз.обл.тепл.вводу в ж/б в.Артилерійська,10 м.Мик.(без пуск.роб.)</t>
  </si>
  <si>
    <t>кап.рем.окр.вуз.обл.тепл.вводу в ж/б в.Миколаївська,9 м.Мик.</t>
  </si>
  <si>
    <t>кап.рем.окр.вуз.обл.тепл.ввод.ж/б, в.Г.Карп.,2/1 м.Мик.(без пуск.роб.)</t>
  </si>
  <si>
    <t>кап.рем.окр.вуз.обл.тепл.ввод.в ж/б по вул.Адміральська,19 в мМик.</t>
  </si>
  <si>
    <t>кап.рем.окр.вуз.обл.тепл.ввод.в ж/б по вул.Арх.Старого,2-Б в мМик.</t>
  </si>
  <si>
    <t>кап.рем.окр.вуз.обл.тепл.ввод.ж/б в.Космонавт.,122</t>
  </si>
  <si>
    <t>кап.рем.окр.вуз.обл.тепл.ввод.ж/б в.Космонавт.,77-а м.Мик.</t>
  </si>
  <si>
    <t>кап.рем.окр.вуз.обл.тепл.ввод.ж/б в.Потьомкін.,141 м.Мик.</t>
  </si>
  <si>
    <t>кап.рем.окр.вуз.обл.тепл.ввод.ж/б в.Потьомкін.,155</t>
  </si>
  <si>
    <t>Кап.рем.окр.вуз.обл.тепл.ввод.в ж/б по вул.Арх.Старого,2-Б(пуск.роб.)в мМик</t>
  </si>
  <si>
    <t>Кап.рем.окр.вуз.обл.тепл.ввод.в ж/б по вул.Адміральська,19(пуск.роб)в мМик.</t>
  </si>
  <si>
    <t>кап.рем.окр.вуз.обл.тепл.вводу в ж/б в.Артилерійська,10 м.Мик.(пуск.роб.)</t>
  </si>
  <si>
    <t>кап.рем.окр.вуз.обл.тепл.ввод.ж/б, в.Г.Карп.,2/1 м.Мик.(пуск.роб.)</t>
  </si>
  <si>
    <t>кап.рем.окр.вуз.обл.тепл.вводу в ж/б в.Арх.Старова,6 м.Мик.</t>
  </si>
  <si>
    <t>кап.рем.окр.вуз.обл.тепл.вводу в ж/б в.Крилова,38/1 м.Мик.</t>
  </si>
  <si>
    <t>кап.рем.окр.вуз.обл.тепл.вводу в ж/б в.Арх.Старова,4 м.Мик.</t>
  </si>
  <si>
    <t>кап.рем.окр.вуз.обл.тепл.вводу в ж/б в.Арх.Старова,10Г(3-4п.) м.Мик.</t>
  </si>
  <si>
    <t>кап.рем.окр.вуз.обл.тепл.вводу в ж/б пр.Центральний,191 м.Мик.</t>
  </si>
  <si>
    <t>кап.рем.окр.вуз.обл.тепл.вводу в ж/б пр.Центральний,193 м.Мик.</t>
  </si>
  <si>
    <t>кап.рем.окр.вуз.обл.тепл.вводу в ж/б вул.8 Березня,12 м.Мик.</t>
  </si>
  <si>
    <t>кап.рем.окр.вуз.обл.тепл.вводу в ж/б в.Декабристів,67,69 м.Мик.</t>
  </si>
  <si>
    <t>кап.рем.окр.вуз.обл.тепл.вводу в ж/б в.Погранична,150/4,150/10 м.Мик.</t>
  </si>
  <si>
    <t>кап.рем.окр.вуз.обл.тепл.вводу в ж/б в.Крилова, 15-А м.Мик.</t>
  </si>
  <si>
    <t>кап.рем.окр.вуз.обл.тепл.вводу в ж/б пр.Центральний, 24 м.Мик.</t>
  </si>
  <si>
    <t>кап.рем.окр.вуз.обл.тепл.вводу в ж/б пр.Центральний, 22 м.Мик.</t>
  </si>
  <si>
    <t>ПКД(роб.проект)по об.:"кап.рем.окр.вуз.обл.тепл.ввод.ж/б у м.Мик."</t>
  </si>
  <si>
    <t>ПКД(Роб.проект)по об.:"кап.рем.окр.вуз.обл.тепл.ввод.ж/б у м.Мик.</t>
  </si>
  <si>
    <t>кап.рем.окр.вуз.обл.теп.ввод.ж/б в.Космонавтів,122(пуск.роб.)м.Мик.</t>
  </si>
  <si>
    <t>кап.рем.окр.вуз.обл.теп.ввод.ж/б в.Потьомкін.,141(пуск.роб.)м.Мик.</t>
  </si>
  <si>
    <t>кап.рем.окр.вуз.обл.теп.ввод.ж/б в.Космонавтів,77-А(пуск.роб.)м.Мик.</t>
  </si>
  <si>
    <t>кап.рем.окр.вуз.обл.тепл.ввод.ж/б в.Потьомкін.,155(пуск.роб.)м.Мик.</t>
  </si>
  <si>
    <t>кап.рем.окр.вуз.обл.тепл.ввод.ж/б вул.3 Лінія,17 м.Мик.</t>
  </si>
  <si>
    <t>кап.рем.окр.вуз.обл.тепл.ввод.ж/б вул.Новобузька,99 м.Мик.</t>
  </si>
  <si>
    <t>кап.рем.окр.вуз.обл.тепл.ввод.ж/б вул.Миколаївська,30-А м.Мик.</t>
  </si>
  <si>
    <t>кап.рем.окр.вуз.обл.тепл.ввод.ж/б пр.Миру,60 м.Мик.</t>
  </si>
  <si>
    <t>кап.рем.окр.вуз.обл.тепл.ввод.ж/б вул.Херсонське шосе,32 м.Мик.</t>
  </si>
  <si>
    <t>Кап.рем.каналіз.колект. Д-1400мм"в.Лескова від в.Сидорчука до в.Богородича(прот.485п/м), авар.-відбудовні роб.Д.05/06-2018ВІД05.07.18Р.</t>
  </si>
  <si>
    <t xml:space="preserve">           
МКП "Миколаївводоканал"           </t>
  </si>
  <si>
    <t>Нове будівництво каналізації по вул. 3 Воєнній (Сиваської дивізії) в Центральному районі м. Мик., у т.ч. коригування проекту та експертиза</t>
  </si>
  <si>
    <t>ТОВ "ВІК ПРОЕКТ"</t>
  </si>
  <si>
    <t>Реконструкція скверу  «Манганарівський» («Пролетарський»),  обмеженого вулицями Адміральською - 1 Слобідською – Нікольською - Інженерною в Центральному районі м.Миколаєва,  у тому числі коригування проекту та експертиза</t>
  </si>
  <si>
    <t xml:space="preserve">   ТОВ"Богард"</t>
  </si>
  <si>
    <t>Нове будівництво тролейбусної лінії по вул. Лазурній та вул. Озерній у м. Миколаєві, у тому числі проектні роботи та експертиза</t>
  </si>
  <si>
    <t>Будівництво протипожежних водойм на тер. Полігона ТПВ по вул.Новій,16 у м. Миколаєві</t>
  </si>
  <si>
    <t>Лік.нас.під.ж/м.Тер.буд.др.кол.д.зах.від під.ж/м Терн.м.Мик.</t>
  </si>
  <si>
    <t>ТОВ ВКФ "Газводмонтаж"</t>
  </si>
  <si>
    <t>Нове буд.огор.міськ.поліг.тв.побут.відх.в с.В.Коренихам.Мик.</t>
  </si>
  <si>
    <t xml:space="preserve">ТОВ"ДІ КОР-БУД" </t>
  </si>
  <si>
    <t>комп.інж-геод.вишук.по об.:"Нове буд.світл.об.в м.Мик.по в.Весел.ріг в.Урож."</t>
  </si>
  <si>
    <t>ФОП Докієнко О.О.</t>
  </si>
  <si>
    <t>комп.інж-геод.вишук.по об.:"Нове буд.світл.об.в м.Мик.по пр.Богоявл.ріг в.А.Олійн."</t>
  </si>
  <si>
    <t>комп.інж-геод.вишук.по об.:"Нове буд.світл.об.в м.Мик.по в.Космон.в р-н ЗОШ№20"</t>
  </si>
  <si>
    <t>комп.інж-геод.вишук.по об.:"Нове буд.світл.об.в м.Мик.на перех.в.3Слоб.та в.Кузнец."</t>
  </si>
  <si>
    <t>комп.інж-геод.вишук.по об.:"Нове буд.світл.об. пер.в.1Лінія та пр.Миру м.Мик"</t>
  </si>
  <si>
    <t>кор.ПКД"Рек.ск."Манг"("Прол"), обм.в.Ад-1-юСл-Нік-Інж.в Ц.р-ні мМик.ст.П</t>
  </si>
  <si>
    <t>арх.пр.(в.р.з інж.-геол.виш."Рек.скв."Манг."("Прол."), обм.в.Ад.-1-юСл-Нік-Інж.в Ц.р-ні мМик.</t>
  </si>
  <si>
    <t>КП ГПВ АПБ</t>
  </si>
  <si>
    <t>вн.до нат.ос.р.ос.і зак.пр.пар."Лік.нас.під.с.Гор.-буд.др.к. д.зах.в.під.с.Гор.м.Мик."</t>
  </si>
  <si>
    <t>арх.пр.(в.р.з інж.-геол.виш."Рек.скв."Манг."("Прол."), обм.в.Ад.-1-юСл.-Нік.-Інж.в Ц.р-ні м.Мик.</t>
  </si>
  <si>
    <t>ФОП Кучеренко Т.М.</t>
  </si>
  <si>
    <t>ПКД "Рек.перехр.по вул.Ген.Карп.та вул.Крилова м.Мик.1Ет.Інж.-геод.виш."</t>
  </si>
  <si>
    <t xml:space="preserve">Макромир-Проект </t>
  </si>
  <si>
    <t>Реконструкція місцевої автоматизованої системи централізованого оповіщення про загрозу або виникнення надзвичайних ситуацій у м.Миколаєві, у тому числі проектні роботи та експертиза</t>
  </si>
  <si>
    <t>р</t>
  </si>
  <si>
    <t>Експертний звіт від 13.04.2018 №854-18Д ТОВ "ПРОЕКТ-КОМПЛЕКТ-СТРОЙ"</t>
  </si>
  <si>
    <t>Експертний звіт від 31.01.2018 №109/17 ТОВ "ІНПРОЕКТБУД"</t>
  </si>
</sst>
</file>

<file path=xl/styles.xml><?xml version="1.0" encoding="utf-8"?>
<styleSheet xmlns="http://schemas.openxmlformats.org/spreadsheetml/2006/main">
  <numFmts count="5">
    <numFmt numFmtId="164" formatCode="0.000"/>
    <numFmt numFmtId="165" formatCode="#,##0.000"/>
    <numFmt numFmtId="166" formatCode="#,##0.00_ ;\-#,##0.00\ "/>
    <numFmt numFmtId="167" formatCode="#,##0.000\ _г_р_н_."/>
    <numFmt numFmtId="168" formatCode="#,##0.00000"/>
  </numFmts>
  <fonts count="1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6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37"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wrapText="1"/>
    </xf>
    <xf numFmtId="0" fontId="6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49" fontId="4" fillId="0" borderId="4" xfId="3" applyNumberFormat="1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164" fontId="4" fillId="0" borderId="1" xfId="0" applyNumberFormat="1" applyFont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6" fillId="0" borderId="1" xfId="0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left" wrapText="1"/>
    </xf>
    <xf numFmtId="0" fontId="3" fillId="0" borderId="1" xfId="0" applyFont="1" applyFill="1" applyBorder="1" applyAlignment="1">
      <alignment vertical="top" wrapText="1"/>
    </xf>
    <xf numFmtId="0" fontId="6" fillId="0" borderId="6" xfId="0" applyFont="1" applyFill="1" applyBorder="1" applyAlignment="1">
      <alignment vertical="top" wrapText="1"/>
    </xf>
    <xf numFmtId="0" fontId="6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vertical="top" wrapText="1"/>
    </xf>
    <xf numFmtId="164" fontId="9" fillId="0" borderId="1" xfId="0" applyNumberFormat="1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164" fontId="9" fillId="0" borderId="1" xfId="0" applyNumberFormat="1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right" vertical="center" wrapText="1"/>
    </xf>
    <xf numFmtId="164" fontId="6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164" fontId="9" fillId="0" borderId="1" xfId="0" applyNumberFormat="1" applyFont="1" applyBorder="1" applyAlignment="1">
      <alignment horizontal="right" wrapText="1"/>
    </xf>
    <xf numFmtId="0" fontId="2" fillId="0" borderId="1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165" fontId="3" fillId="0" borderId="11" xfId="0" applyNumberFormat="1" applyFont="1" applyFill="1" applyBorder="1" applyAlignment="1">
      <alignment horizontal="center" vertical="center" wrapText="1"/>
    </xf>
    <xf numFmtId="164" fontId="3" fillId="0" borderId="17" xfId="0" applyNumberFormat="1" applyFont="1" applyFill="1" applyBorder="1" applyAlignment="1">
      <alignment horizontal="center" wrapText="1"/>
    </xf>
    <xf numFmtId="1" fontId="4" fillId="0" borderId="10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6" fillId="0" borderId="6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6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3" borderId="4" xfId="0" applyFont="1" applyFill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6" fillId="0" borderId="1" xfId="0" applyNumberFormat="1" applyFont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6" fillId="0" borderId="4" xfId="0" applyFont="1" applyBorder="1" applyAlignment="1">
      <alignment horizontal="left" vertical="top" wrapText="1"/>
    </xf>
    <xf numFmtId="165" fontId="6" fillId="0" borderId="1" xfId="0" applyNumberFormat="1" applyFont="1" applyBorder="1" applyAlignment="1">
      <alignment horizontal="center" vertical="top" wrapText="1"/>
    </xf>
    <xf numFmtId="0" fontId="11" fillId="0" borderId="4" xfId="0" applyFont="1" applyBorder="1" applyAlignment="1">
      <alignment vertical="top" wrapText="1"/>
    </xf>
    <xf numFmtId="0" fontId="3" fillId="0" borderId="5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4" fillId="0" borderId="5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5" xfId="0" applyFont="1" applyBorder="1" applyAlignment="1">
      <alignment horizontal="left" wrapText="1"/>
    </xf>
    <xf numFmtId="0" fontId="2" fillId="0" borderId="1" xfId="0" applyFont="1" applyFill="1" applyBorder="1" applyAlignment="1">
      <alignment horizontal="center" wrapText="1"/>
    </xf>
    <xf numFmtId="0" fontId="4" fillId="0" borderId="15" xfId="0" applyFont="1" applyFill="1" applyBorder="1" applyAlignment="1">
      <alignment horizontal="left" vertical="top" wrapText="1"/>
    </xf>
    <xf numFmtId="49" fontId="4" fillId="0" borderId="10" xfId="2" applyNumberFormat="1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49" fontId="4" fillId="0" borderId="10" xfId="0" applyNumberFormat="1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left" vertical="top" wrapText="1"/>
    </xf>
    <xf numFmtId="2" fontId="4" fillId="0" borderId="1" xfId="0" applyNumberFormat="1" applyFont="1" applyFill="1" applyBorder="1" applyAlignment="1">
      <alignment horizontal="left" vertical="top" wrapText="1"/>
    </xf>
    <xf numFmtId="0" fontId="4" fillId="0" borderId="5" xfId="0" applyNumberFormat="1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left" vertical="top" wrapText="1"/>
    </xf>
    <xf numFmtId="0" fontId="3" fillId="0" borderId="10" xfId="0" applyFont="1" applyBorder="1" applyAlignment="1">
      <alignment horizontal="left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49" fontId="4" fillId="0" borderId="10" xfId="3" applyNumberFormat="1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left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0" borderId="35" xfId="0" applyFont="1" applyBorder="1" applyAlignment="1">
      <alignment horizontal="left" vertical="top" wrapText="1"/>
    </xf>
    <xf numFmtId="0" fontId="5" fillId="0" borderId="35" xfId="0" applyFont="1" applyBorder="1" applyAlignment="1">
      <alignment horizontal="left" wrapText="1"/>
    </xf>
    <xf numFmtId="164" fontId="5" fillId="0" borderId="35" xfId="0" applyNumberFormat="1" applyFont="1" applyBorder="1" applyAlignment="1">
      <alignment horizontal="center" vertical="center" wrapText="1"/>
    </xf>
    <xf numFmtId="0" fontId="5" fillId="0" borderId="36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left" wrapText="1"/>
    </xf>
    <xf numFmtId="168" fontId="4" fillId="0" borderId="35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5" fillId="0" borderId="35" xfId="0" applyFont="1" applyBorder="1" applyAlignment="1">
      <alignment horizontal="left" vertical="center" wrapText="1"/>
    </xf>
    <xf numFmtId="168" fontId="5" fillId="0" borderId="35" xfId="0" applyNumberFormat="1" applyFont="1" applyBorder="1" applyAlignment="1">
      <alignment horizontal="center" vertical="center" wrapText="1"/>
    </xf>
    <xf numFmtId="164" fontId="4" fillId="0" borderId="35" xfId="0" applyNumberFormat="1" applyFont="1" applyBorder="1" applyAlignment="1">
      <alignment horizontal="center" vertical="center" wrapText="1"/>
    </xf>
    <xf numFmtId="0" fontId="4" fillId="0" borderId="36" xfId="0" applyFont="1" applyBorder="1" applyAlignment="1">
      <alignment horizontal="left" vertical="center" wrapText="1"/>
    </xf>
    <xf numFmtId="168" fontId="4" fillId="0" borderId="35" xfId="0" applyNumberFormat="1" applyFont="1" applyFill="1" applyBorder="1" applyAlignment="1">
      <alignment horizontal="center" vertical="center" wrapText="1"/>
    </xf>
    <xf numFmtId="164" fontId="4" fillId="0" borderId="35" xfId="0" applyNumberFormat="1" applyFont="1" applyFill="1" applyBorder="1" applyAlignment="1">
      <alignment horizontal="center" vertical="center" wrapText="1"/>
    </xf>
    <xf numFmtId="164" fontId="4" fillId="2" borderId="35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168" fontId="4" fillId="0" borderId="21" xfId="0" applyNumberFormat="1" applyFont="1" applyBorder="1" applyAlignment="1">
      <alignment horizontal="center" vertical="center" wrapText="1"/>
    </xf>
    <xf numFmtId="164" fontId="4" fillId="0" borderId="21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left" vertical="center" wrapText="1"/>
    </xf>
    <xf numFmtId="168" fontId="4" fillId="0" borderId="20" xfId="0" applyNumberFormat="1" applyFont="1" applyFill="1" applyBorder="1" applyAlignment="1">
      <alignment horizontal="center" vertical="center" wrapText="1"/>
    </xf>
    <xf numFmtId="164" fontId="4" fillId="0" borderId="20" xfId="0" applyNumberFormat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justify" vertical="center" wrapText="1"/>
    </xf>
    <xf numFmtId="0" fontId="4" fillId="0" borderId="35" xfId="0" applyFont="1" applyBorder="1" applyAlignment="1">
      <alignment vertical="center" wrapText="1"/>
    </xf>
    <xf numFmtId="0" fontId="4" fillId="2" borderId="35" xfId="0" applyFont="1" applyFill="1" applyBorder="1" applyAlignment="1">
      <alignment horizontal="left" vertical="center" wrapText="1"/>
    </xf>
    <xf numFmtId="168" fontId="4" fillId="2" borderId="35" xfId="0" applyNumberFormat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165" fontId="5" fillId="0" borderId="0" xfId="0" applyNumberFormat="1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left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center" vertical="center" wrapText="1"/>
    </xf>
    <xf numFmtId="164" fontId="3" fillId="0" borderId="17" xfId="0" applyNumberFormat="1" applyFont="1" applyFill="1" applyBorder="1" applyAlignment="1">
      <alignment horizontal="right" wrapText="1"/>
    </xf>
    <xf numFmtId="0" fontId="3" fillId="0" borderId="18" xfId="0" applyFont="1" applyFill="1" applyBorder="1" applyAlignment="1">
      <alignment horizontal="left" wrapText="1"/>
    </xf>
    <xf numFmtId="0" fontId="3" fillId="0" borderId="41" xfId="0" applyFont="1" applyFill="1" applyBorder="1" applyAlignment="1">
      <alignment horizontal="left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center" vertical="center" wrapText="1"/>
    </xf>
    <xf numFmtId="164" fontId="3" fillId="0" borderId="16" xfId="0" applyNumberFormat="1" applyFont="1" applyFill="1" applyBorder="1" applyAlignment="1">
      <alignment horizontal="right" wrapText="1"/>
    </xf>
    <xf numFmtId="164" fontId="3" fillId="0" borderId="46" xfId="0" applyNumberFormat="1" applyFont="1" applyFill="1" applyBorder="1" applyAlignment="1">
      <alignment horizontal="right" wrapText="1"/>
    </xf>
    <xf numFmtId="0" fontId="3" fillId="0" borderId="40" xfId="0" applyFont="1" applyFill="1" applyBorder="1" applyAlignment="1">
      <alignment horizontal="left" wrapText="1"/>
    </xf>
    <xf numFmtId="0" fontId="9" fillId="0" borderId="47" xfId="0" applyFont="1" applyFill="1" applyBorder="1" applyAlignment="1">
      <alignment horizontal="left" wrapText="1"/>
    </xf>
    <xf numFmtId="0" fontId="4" fillId="0" borderId="48" xfId="0" applyFont="1" applyFill="1" applyBorder="1" applyAlignment="1">
      <alignment wrapText="1"/>
    </xf>
    <xf numFmtId="164" fontId="9" fillId="0" borderId="49" xfId="0" applyNumberFormat="1" applyFont="1" applyFill="1" applyBorder="1" applyAlignment="1">
      <alignment wrapText="1"/>
    </xf>
    <xf numFmtId="164" fontId="9" fillId="0" borderId="50" xfId="0" applyNumberFormat="1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164" fontId="3" fillId="0" borderId="1" xfId="0" applyNumberFormat="1" applyFont="1" applyFill="1" applyBorder="1" applyAlignment="1">
      <alignment wrapText="1"/>
    </xf>
    <xf numFmtId="164" fontId="3" fillId="0" borderId="3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left" wrapText="1"/>
    </xf>
    <xf numFmtId="0" fontId="9" fillId="0" borderId="51" xfId="0" applyFont="1" applyFill="1" applyBorder="1" applyAlignment="1">
      <alignment horizontal="left" wrapText="1"/>
    </xf>
    <xf numFmtId="0" fontId="4" fillId="0" borderId="26" xfId="0" applyFont="1" applyFill="1" applyBorder="1" applyAlignment="1">
      <alignment wrapText="1"/>
    </xf>
    <xf numFmtId="164" fontId="9" fillId="0" borderId="24" xfId="0" applyNumberFormat="1" applyFont="1" applyFill="1" applyBorder="1" applyAlignment="1">
      <alignment wrapText="1"/>
    </xf>
    <xf numFmtId="164" fontId="9" fillId="0" borderId="52" xfId="0" applyNumberFormat="1" applyFont="1" applyFill="1" applyBorder="1" applyAlignment="1">
      <alignment horizontal="left" wrapText="1"/>
    </xf>
    <xf numFmtId="164" fontId="9" fillId="0" borderId="52" xfId="0" applyNumberFormat="1" applyFont="1" applyFill="1" applyBorder="1" applyAlignment="1">
      <alignment wrapText="1"/>
    </xf>
    <xf numFmtId="0" fontId="4" fillId="0" borderId="27" xfId="0" applyFont="1" applyFill="1" applyBorder="1" applyAlignment="1">
      <alignment wrapText="1"/>
    </xf>
    <xf numFmtId="0" fontId="9" fillId="0" borderId="24" xfId="0" applyFont="1" applyFill="1" applyBorder="1" applyAlignment="1">
      <alignment horizontal="left" wrapText="1"/>
    </xf>
    <xf numFmtId="0" fontId="9" fillId="0" borderId="53" xfId="0" applyFont="1" applyFill="1" applyBorder="1" applyAlignment="1">
      <alignment horizontal="left" wrapText="1"/>
    </xf>
    <xf numFmtId="0" fontId="9" fillId="0" borderId="54" xfId="0" applyFont="1" applyFill="1" applyBorder="1" applyAlignment="1">
      <alignment horizontal="left" wrapText="1"/>
    </xf>
    <xf numFmtId="164" fontId="9" fillId="0" borderId="54" xfId="0" applyNumberFormat="1" applyFont="1" applyFill="1" applyBorder="1" applyAlignment="1">
      <alignment wrapText="1"/>
    </xf>
    <xf numFmtId="164" fontId="9" fillId="0" borderId="55" xfId="0" applyNumberFormat="1" applyFont="1" applyFill="1" applyBorder="1" applyAlignment="1">
      <alignment wrapText="1"/>
    </xf>
    <xf numFmtId="164" fontId="3" fillId="0" borderId="17" xfId="0" applyNumberFormat="1" applyFont="1" applyFill="1" applyBorder="1" applyAlignment="1">
      <alignment wrapText="1"/>
    </xf>
    <xf numFmtId="164" fontId="9" fillId="0" borderId="50" xfId="0" applyNumberFormat="1" applyFont="1" applyFill="1" applyBorder="1" applyAlignment="1">
      <alignment wrapText="1"/>
    </xf>
    <xf numFmtId="0" fontId="4" fillId="0" borderId="51" xfId="0" applyFont="1" applyFill="1" applyBorder="1" applyAlignment="1">
      <alignment horizontal="left" wrapText="1"/>
    </xf>
    <xf numFmtId="164" fontId="4" fillId="0" borderId="24" xfId="0" applyNumberFormat="1" applyFont="1" applyFill="1" applyBorder="1" applyAlignment="1">
      <alignment wrapText="1"/>
    </xf>
    <xf numFmtId="164" fontId="4" fillId="0" borderId="52" xfId="0" applyNumberFormat="1" applyFont="1" applyFill="1" applyBorder="1" applyAlignment="1">
      <alignment wrapText="1"/>
    </xf>
    <xf numFmtId="164" fontId="3" fillId="0" borderId="4" xfId="0" applyNumberFormat="1" applyFont="1" applyFill="1" applyBorder="1" applyAlignment="1">
      <alignment wrapText="1"/>
    </xf>
    <xf numFmtId="164" fontId="9" fillId="0" borderId="52" xfId="0" quotePrefix="1" applyNumberFormat="1" applyFont="1" applyFill="1" applyBorder="1" applyAlignment="1">
      <alignment wrapText="1"/>
    </xf>
    <xf numFmtId="0" fontId="9" fillId="0" borderId="56" xfId="0" applyFont="1" applyFill="1" applyBorder="1" applyAlignment="1">
      <alignment horizontal="left" wrapText="1"/>
    </xf>
    <xf numFmtId="0" fontId="4" fillId="0" borderId="29" xfId="0" applyFont="1" applyFill="1" applyBorder="1" applyAlignment="1">
      <alignment wrapText="1"/>
    </xf>
    <xf numFmtId="164" fontId="9" fillId="0" borderId="28" xfId="0" applyNumberFormat="1" applyFont="1" applyFill="1" applyBorder="1" applyAlignment="1">
      <alignment wrapText="1"/>
    </xf>
    <xf numFmtId="164" fontId="3" fillId="0" borderId="19" xfId="0" applyNumberFormat="1" applyFont="1" applyFill="1" applyBorder="1" applyAlignment="1">
      <alignment wrapText="1"/>
    </xf>
    <xf numFmtId="0" fontId="9" fillId="0" borderId="6" xfId="0" applyFont="1" applyFill="1" applyBorder="1" applyAlignment="1">
      <alignment horizontal="left" wrapText="1"/>
    </xf>
    <xf numFmtId="164" fontId="9" fillId="0" borderId="1" xfId="0" applyNumberFormat="1" applyFont="1" applyFill="1" applyBorder="1" applyAlignment="1">
      <alignment wrapText="1"/>
    </xf>
    <xf numFmtId="0" fontId="9" fillId="0" borderId="41" xfId="0" applyFont="1" applyFill="1" applyBorder="1" applyAlignment="1">
      <alignment horizontal="left" wrapText="1"/>
    </xf>
    <xf numFmtId="0" fontId="4" fillId="0" borderId="38" xfId="0" applyFont="1" applyFill="1" applyBorder="1" applyAlignment="1">
      <alignment wrapText="1"/>
    </xf>
    <xf numFmtId="164" fontId="9" fillId="0" borderId="38" xfId="0" applyNumberFormat="1" applyFont="1" applyFill="1" applyBorder="1" applyAlignment="1">
      <alignment wrapText="1"/>
    </xf>
    <xf numFmtId="164" fontId="3" fillId="0" borderId="40" xfId="0" applyNumberFormat="1" applyFont="1" applyFill="1" applyBorder="1" applyAlignment="1">
      <alignment wrapText="1"/>
    </xf>
    <xf numFmtId="0" fontId="4" fillId="0" borderId="57" xfId="0" applyFont="1" applyFill="1" applyBorder="1" applyAlignment="1">
      <alignment wrapText="1"/>
    </xf>
    <xf numFmtId="0" fontId="3" fillId="0" borderId="7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left" wrapText="1"/>
    </xf>
    <xf numFmtId="164" fontId="3" fillId="0" borderId="8" xfId="0" applyNumberFormat="1" applyFont="1" applyFill="1" applyBorder="1" applyAlignment="1">
      <alignment wrapText="1"/>
    </xf>
    <xf numFmtId="164" fontId="3" fillId="0" borderId="8" xfId="0" applyNumberFormat="1" applyFont="1" applyFill="1" applyBorder="1" applyAlignment="1">
      <alignment horizontal="right" wrapText="1"/>
    </xf>
    <xf numFmtId="164" fontId="3" fillId="0" borderId="9" xfId="0" applyNumberFormat="1" applyFont="1" applyFill="1" applyBorder="1" applyAlignment="1">
      <alignment wrapText="1"/>
    </xf>
    <xf numFmtId="0" fontId="4" fillId="0" borderId="58" xfId="0" applyFont="1" applyFill="1" applyBorder="1" applyAlignment="1">
      <alignment wrapText="1"/>
    </xf>
    <xf numFmtId="0" fontId="4" fillId="0" borderId="59" xfId="0" applyFont="1" applyFill="1" applyBorder="1" applyAlignment="1">
      <alignment wrapText="1"/>
    </xf>
    <xf numFmtId="0" fontId="9" fillId="0" borderId="60" xfId="0" applyFont="1" applyFill="1" applyBorder="1" applyAlignment="1">
      <alignment horizontal="left" wrapText="1"/>
    </xf>
    <xf numFmtId="0" fontId="4" fillId="0" borderId="61" xfId="0" applyFont="1" applyFill="1" applyBorder="1" applyAlignment="1">
      <alignment wrapText="1"/>
    </xf>
    <xf numFmtId="164" fontId="9" fillId="0" borderId="60" xfId="0" applyNumberFormat="1" applyFont="1" applyFill="1" applyBorder="1" applyAlignment="1">
      <alignment wrapText="1"/>
    </xf>
    <xf numFmtId="164" fontId="3" fillId="0" borderId="11" xfId="0" applyNumberFormat="1" applyFont="1" applyFill="1" applyBorder="1" applyAlignment="1">
      <alignment horizontal="right" wrapText="1"/>
    </xf>
    <xf numFmtId="0" fontId="9" fillId="0" borderId="45" xfId="0" applyFont="1" applyFill="1" applyBorder="1" applyAlignment="1">
      <alignment horizontal="left" wrapText="1"/>
    </xf>
    <xf numFmtId="0" fontId="4" fillId="0" borderId="17" xfId="0" applyFont="1" applyFill="1" applyBorder="1" applyAlignment="1">
      <alignment wrapText="1"/>
    </xf>
    <xf numFmtId="164" fontId="9" fillId="0" borderId="17" xfId="0" applyNumberFormat="1" applyFont="1" applyFill="1" applyBorder="1" applyAlignment="1">
      <alignment wrapText="1"/>
    </xf>
    <xf numFmtId="164" fontId="9" fillId="0" borderId="18" xfId="0" applyNumberFormat="1" applyFont="1" applyFill="1" applyBorder="1" applyAlignment="1">
      <alignment wrapText="1"/>
    </xf>
    <xf numFmtId="164" fontId="3" fillId="0" borderId="38" xfId="0" applyNumberFormat="1" applyFont="1" applyFill="1" applyBorder="1" applyAlignment="1">
      <alignment horizontal="right" wrapText="1"/>
    </xf>
    <xf numFmtId="164" fontId="9" fillId="0" borderId="40" xfId="0" applyNumberFormat="1" applyFont="1" applyFill="1" applyBorder="1" applyAlignment="1">
      <alignment wrapText="1"/>
    </xf>
    <xf numFmtId="0" fontId="9" fillId="0" borderId="62" xfId="0" applyFont="1" applyFill="1" applyBorder="1" applyAlignment="1">
      <alignment horizontal="left" wrapText="1"/>
    </xf>
    <xf numFmtId="0" fontId="9" fillId="0" borderId="63" xfId="0" applyFont="1" applyFill="1" applyBorder="1" applyAlignment="1">
      <alignment vertical="top" wrapText="1"/>
    </xf>
    <xf numFmtId="0" fontId="4" fillId="0" borderId="44" xfId="0" applyFont="1" applyFill="1" applyBorder="1" applyAlignment="1">
      <alignment wrapText="1"/>
    </xf>
    <xf numFmtId="0" fontId="4" fillId="0" borderId="32" xfId="0" applyFont="1" applyFill="1" applyBorder="1" applyAlignment="1">
      <alignment wrapText="1"/>
    </xf>
    <xf numFmtId="0" fontId="4" fillId="0" borderId="22" xfId="0" applyFont="1" applyFill="1" applyBorder="1" applyAlignment="1">
      <alignment wrapText="1"/>
    </xf>
    <xf numFmtId="0" fontId="4" fillId="0" borderId="64" xfId="0" applyFont="1" applyFill="1" applyBorder="1" applyAlignment="1">
      <alignment wrapText="1"/>
    </xf>
    <xf numFmtId="0" fontId="9" fillId="0" borderId="65" xfId="0" applyFont="1" applyFill="1" applyBorder="1" applyAlignment="1">
      <alignment horizontal="left" wrapText="1"/>
    </xf>
    <xf numFmtId="0" fontId="9" fillId="0" borderId="66" xfId="0" applyFont="1" applyFill="1" applyBorder="1" applyAlignment="1">
      <alignment horizontal="left" wrapText="1"/>
    </xf>
    <xf numFmtId="0" fontId="9" fillId="0" borderId="67" xfId="0" applyFont="1" applyFill="1" applyBorder="1" applyAlignment="1">
      <alignment horizontal="left" wrapText="1"/>
    </xf>
    <xf numFmtId="0" fontId="4" fillId="0" borderId="42" xfId="1" applyFont="1" applyFill="1" applyBorder="1" applyAlignment="1">
      <alignment wrapText="1"/>
    </xf>
    <xf numFmtId="0" fontId="4" fillId="0" borderId="17" xfId="1" applyFont="1" applyFill="1" applyBorder="1" applyAlignment="1">
      <alignment wrapText="1"/>
    </xf>
    <xf numFmtId="164" fontId="4" fillId="0" borderId="44" xfId="1" applyNumberFormat="1" applyFont="1" applyFill="1" applyBorder="1" applyAlignment="1">
      <alignment wrapText="1"/>
    </xf>
    <xf numFmtId="0" fontId="4" fillId="0" borderId="25" xfId="0" applyFont="1" applyFill="1" applyBorder="1" applyAlignment="1">
      <alignment wrapText="1"/>
    </xf>
    <xf numFmtId="0" fontId="4" fillId="0" borderId="33" xfId="0" applyFont="1" applyFill="1" applyBorder="1" applyAlignment="1">
      <alignment wrapText="1"/>
    </xf>
    <xf numFmtId="0" fontId="4" fillId="0" borderId="68" xfId="0" applyFont="1" applyFill="1" applyBorder="1" applyAlignment="1">
      <alignment wrapText="1"/>
    </xf>
    <xf numFmtId="0" fontId="9" fillId="0" borderId="69" xfId="0" applyFont="1" applyFill="1" applyBorder="1" applyAlignment="1">
      <alignment horizontal="left" wrapText="1"/>
    </xf>
    <xf numFmtId="0" fontId="4" fillId="0" borderId="70" xfId="0" applyFont="1" applyFill="1" applyBorder="1" applyAlignment="1">
      <alignment wrapText="1"/>
    </xf>
    <xf numFmtId="0" fontId="4" fillId="0" borderId="71" xfId="0" applyFont="1" applyFill="1" applyBorder="1" applyAlignment="1">
      <alignment wrapText="1"/>
    </xf>
    <xf numFmtId="164" fontId="3" fillId="0" borderId="13" xfId="0" applyNumberFormat="1" applyFont="1" applyFill="1" applyBorder="1" applyAlignment="1">
      <alignment horizontal="right" wrapText="1"/>
    </xf>
    <xf numFmtId="164" fontId="9" fillId="0" borderId="73" xfId="0" applyNumberFormat="1" applyFont="1" applyFill="1" applyBorder="1" applyAlignment="1">
      <alignment wrapText="1"/>
    </xf>
    <xf numFmtId="0" fontId="9" fillId="0" borderId="23" xfId="0" applyFont="1" applyFill="1" applyBorder="1" applyAlignment="1">
      <alignment horizontal="left" wrapText="1"/>
    </xf>
    <xf numFmtId="0" fontId="4" fillId="0" borderId="31" xfId="0" applyFont="1" applyFill="1" applyBorder="1" applyAlignment="1">
      <alignment wrapText="1"/>
    </xf>
    <xf numFmtId="0" fontId="4" fillId="0" borderId="2" xfId="0" applyFont="1" applyFill="1" applyBorder="1" applyAlignment="1">
      <alignment wrapText="1"/>
    </xf>
    <xf numFmtId="164" fontId="3" fillId="0" borderId="1" xfId="0" applyNumberFormat="1" applyFont="1" applyFill="1" applyBorder="1" applyAlignment="1">
      <alignment horizontal="right" wrapText="1"/>
    </xf>
    <xf numFmtId="164" fontId="9" fillId="0" borderId="19" xfId="0" applyNumberFormat="1" applyFont="1" applyFill="1" applyBorder="1" applyAlignment="1">
      <alignment wrapText="1"/>
    </xf>
    <xf numFmtId="0" fontId="4" fillId="0" borderId="34" xfId="0" applyFont="1" applyFill="1" applyBorder="1" applyAlignment="1">
      <alignment wrapText="1"/>
    </xf>
    <xf numFmtId="164" fontId="4" fillId="0" borderId="1" xfId="0" applyNumberFormat="1" applyFont="1" applyFill="1" applyBorder="1" applyAlignment="1">
      <alignment wrapText="1"/>
    </xf>
    <xf numFmtId="164" fontId="9" fillId="0" borderId="4" xfId="0" applyNumberFormat="1" applyFont="1" applyFill="1" applyBorder="1" applyAlignment="1">
      <alignment wrapText="1"/>
    </xf>
    <xf numFmtId="0" fontId="9" fillId="0" borderId="7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wrapText="1"/>
    </xf>
    <xf numFmtId="164" fontId="9" fillId="0" borderId="9" xfId="0" applyNumberFormat="1" applyFont="1" applyFill="1" applyBorder="1" applyAlignment="1">
      <alignment wrapText="1"/>
    </xf>
    <xf numFmtId="0" fontId="10" fillId="0" borderId="30" xfId="0" applyFont="1" applyFill="1" applyBorder="1" applyAlignment="1">
      <alignment wrapText="1"/>
    </xf>
    <xf numFmtId="164" fontId="10" fillId="0" borderId="30" xfId="0" applyNumberFormat="1" applyFont="1" applyFill="1" applyBorder="1" applyAlignment="1">
      <alignment horizontal="center" wrapText="1"/>
    </xf>
    <xf numFmtId="164" fontId="4" fillId="0" borderId="1" xfId="0" applyNumberFormat="1" applyFont="1" applyBorder="1" applyAlignment="1">
      <alignment wrapText="1"/>
    </xf>
    <xf numFmtId="164" fontId="4" fillId="0" borderId="1" xfId="0" applyNumberFormat="1" applyFont="1" applyBorder="1" applyAlignment="1">
      <alignment horizontal="left" wrapText="1"/>
    </xf>
    <xf numFmtId="167" fontId="3" fillId="0" borderId="1" xfId="0" applyNumberFormat="1" applyFont="1" applyFill="1" applyBorder="1" applyAlignment="1">
      <alignment horizontal="right" vertical="center" wrapText="1"/>
    </xf>
    <xf numFmtId="167" fontId="3" fillId="0" borderId="1" xfId="0" applyNumberFormat="1" applyFont="1" applyFill="1" applyBorder="1" applyAlignment="1">
      <alignment horizontal="right" wrapText="1"/>
    </xf>
    <xf numFmtId="167" fontId="4" fillId="2" borderId="1" xfId="0" applyNumberFormat="1" applyFont="1" applyFill="1" applyBorder="1" applyAlignment="1">
      <alignment horizontal="right" wrapText="1"/>
    </xf>
    <xf numFmtId="4" fontId="4" fillId="2" borderId="2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top" wrapText="1"/>
    </xf>
    <xf numFmtId="4" fontId="4" fillId="2" borderId="11" xfId="0" applyNumberFormat="1" applyFont="1" applyFill="1" applyBorder="1" applyAlignment="1">
      <alignment horizontal="left" wrapText="1"/>
    </xf>
    <xf numFmtId="0" fontId="3" fillId="2" borderId="1" xfId="0" applyFont="1" applyFill="1" applyBorder="1" applyAlignment="1">
      <alignment wrapText="1"/>
    </xf>
    <xf numFmtId="164" fontId="3" fillId="2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vertical="top" wrapText="1"/>
    </xf>
    <xf numFmtId="166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164" fontId="6" fillId="2" borderId="2" xfId="0" applyNumberFormat="1" applyFont="1" applyFill="1" applyBorder="1" applyAlignment="1">
      <alignment vertical="top" wrapText="1"/>
    </xf>
    <xf numFmtId="164" fontId="6" fillId="2" borderId="2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wrapText="1"/>
    </xf>
    <xf numFmtId="165" fontId="3" fillId="0" borderId="0" xfId="0" applyNumberFormat="1" applyFont="1" applyAlignment="1">
      <alignment horizontal="center"/>
    </xf>
    <xf numFmtId="164" fontId="7" fillId="0" borderId="1" xfId="0" applyNumberFormat="1" applyFont="1" applyFill="1" applyBorder="1" applyAlignment="1">
      <alignment horizontal="center" wrapText="1"/>
    </xf>
    <xf numFmtId="164" fontId="7" fillId="0" borderId="1" xfId="0" applyNumberFormat="1" applyFont="1" applyFill="1" applyBorder="1" applyAlignment="1">
      <alignment wrapText="1"/>
    </xf>
    <xf numFmtId="165" fontId="7" fillId="0" borderId="1" xfId="0" applyNumberFormat="1" applyFont="1" applyFill="1" applyBorder="1" applyAlignment="1">
      <alignment horizontal="center" wrapText="1"/>
    </xf>
    <xf numFmtId="164" fontId="3" fillId="0" borderId="1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164" fontId="6" fillId="0" borderId="4" xfId="0" applyNumberFormat="1" applyFont="1" applyFill="1" applyBorder="1" applyAlignment="1">
      <alignment vertical="top" wrapText="1"/>
    </xf>
    <xf numFmtId="0" fontId="7" fillId="0" borderId="41" xfId="0" applyFont="1" applyFill="1" applyBorder="1" applyAlignment="1">
      <alignment horizontal="center" wrapText="1"/>
    </xf>
    <xf numFmtId="0" fontId="7" fillId="0" borderId="38" xfId="0" applyFont="1" applyFill="1" applyBorder="1" applyAlignment="1">
      <alignment wrapText="1"/>
    </xf>
    <xf numFmtId="164" fontId="7" fillId="0" borderId="38" xfId="0" applyNumberFormat="1" applyFont="1" applyFill="1" applyBorder="1" applyAlignment="1">
      <alignment horizontal="center" wrapText="1"/>
    </xf>
    <xf numFmtId="165" fontId="7" fillId="0" borderId="38" xfId="0" applyNumberFormat="1" applyFont="1" applyFill="1" applyBorder="1" applyAlignment="1">
      <alignment horizontal="center" wrapText="1"/>
    </xf>
    <xf numFmtId="164" fontId="7" fillId="0" borderId="40" xfId="0" applyNumberFormat="1" applyFont="1" applyFill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 wrapText="1"/>
    </xf>
    <xf numFmtId="2" fontId="4" fillId="0" borderId="39" xfId="0" applyNumberFormat="1" applyFont="1" applyFill="1" applyBorder="1" applyAlignment="1">
      <alignment horizontal="right" vertical="top" wrapText="1"/>
    </xf>
    <xf numFmtId="2" fontId="4" fillId="0" borderId="5" xfId="0" applyNumberFormat="1" applyFont="1" applyFill="1" applyBorder="1" applyAlignment="1">
      <alignment horizontal="right" vertical="top" wrapText="1"/>
    </xf>
    <xf numFmtId="2" fontId="4" fillId="0" borderId="22" xfId="0" applyNumberFormat="1" applyFont="1" applyFill="1" applyBorder="1" applyAlignment="1">
      <alignment horizontal="right" vertical="top" wrapText="1"/>
    </xf>
    <xf numFmtId="2" fontId="4" fillId="2" borderId="5" xfId="0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4" fillId="0" borderId="5" xfId="3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2" fontId="4" fillId="2" borderId="5" xfId="0" applyNumberFormat="1" applyFont="1" applyFill="1" applyBorder="1" applyAlignment="1">
      <alignment horizontal="center" vertical="center" wrapText="1"/>
    </xf>
    <xf numFmtId="2" fontId="4" fillId="0" borderId="5" xfId="3" applyNumberFormat="1" applyFont="1" applyFill="1" applyBorder="1" applyAlignment="1">
      <alignment horizontal="center" vertical="top" wrapText="1"/>
    </xf>
    <xf numFmtId="2" fontId="4" fillId="0" borderId="5" xfId="4" applyNumberFormat="1" applyFont="1" applyFill="1" applyBorder="1" applyAlignment="1">
      <alignment horizontal="center" vertical="center" wrapText="1"/>
    </xf>
    <xf numFmtId="2" fontId="4" fillId="0" borderId="22" xfId="0" applyNumberFormat="1" applyFont="1" applyFill="1" applyBorder="1" applyAlignment="1">
      <alignment horizontal="center" vertical="center" wrapText="1"/>
    </xf>
    <xf numFmtId="2" fontId="4" fillId="0" borderId="37" xfId="0" applyNumberFormat="1" applyFont="1" applyFill="1" applyBorder="1" applyAlignment="1">
      <alignment horizontal="center" vertical="center" wrapText="1"/>
    </xf>
    <xf numFmtId="2" fontId="2" fillId="0" borderId="39" xfId="0" applyNumberFormat="1" applyFont="1" applyBorder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168" fontId="3" fillId="0" borderId="0" xfId="0" applyNumberFormat="1" applyFont="1" applyFill="1" applyAlignment="1">
      <alignment horizontal="center" vertical="center" wrapText="1"/>
    </xf>
    <xf numFmtId="164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wrapText="1"/>
    </xf>
    <xf numFmtId="164" fontId="3" fillId="0" borderId="38" xfId="0" applyNumberFormat="1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164" fontId="3" fillId="0" borderId="2" xfId="0" applyNumberFormat="1" applyFont="1" applyFill="1" applyBorder="1" applyAlignment="1">
      <alignment wrapText="1"/>
    </xf>
    <xf numFmtId="164" fontId="3" fillId="0" borderId="11" xfId="0" applyNumberFormat="1" applyFont="1" applyFill="1" applyBorder="1" applyAlignment="1">
      <alignment wrapText="1"/>
    </xf>
    <xf numFmtId="164" fontId="3" fillId="0" borderId="18" xfId="0" applyNumberFormat="1" applyFont="1" applyFill="1" applyBorder="1" applyAlignment="1">
      <alignment wrapText="1"/>
    </xf>
    <xf numFmtId="164" fontId="3" fillId="0" borderId="13" xfId="0" applyNumberFormat="1" applyFont="1" applyFill="1" applyBorder="1" applyAlignment="1">
      <alignment wrapText="1"/>
    </xf>
    <xf numFmtId="164" fontId="9" fillId="0" borderId="72" xfId="0" applyNumberFormat="1" applyFont="1" applyFill="1" applyBorder="1" applyAlignment="1">
      <alignment wrapText="1"/>
    </xf>
    <xf numFmtId="164" fontId="9" fillId="0" borderId="8" xfId="0" applyNumberFormat="1" applyFont="1" applyFill="1" applyBorder="1" applyAlignment="1">
      <alignment wrapText="1"/>
    </xf>
    <xf numFmtId="0" fontId="10" fillId="0" borderId="30" xfId="0" applyFont="1" applyFill="1" applyBorder="1" applyAlignment="1">
      <alignment horizontal="left" wrapText="1"/>
    </xf>
    <xf numFmtId="164" fontId="10" fillId="0" borderId="30" xfId="0" applyNumberFormat="1" applyFont="1" applyFill="1" applyBorder="1" applyAlignment="1">
      <alignment wrapText="1"/>
    </xf>
    <xf numFmtId="165" fontId="2" fillId="0" borderId="1" xfId="0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wrapText="1"/>
    </xf>
    <xf numFmtId="164" fontId="10" fillId="0" borderId="1" xfId="0" applyNumberFormat="1" applyFont="1" applyFill="1" applyBorder="1" applyAlignment="1">
      <alignment horizontal="center" wrapText="1"/>
    </xf>
    <xf numFmtId="165" fontId="10" fillId="0" borderId="1" xfId="0" applyNumberFormat="1" applyFont="1" applyFill="1" applyBorder="1" applyAlignment="1">
      <alignment horizontal="center" wrapText="1"/>
    </xf>
    <xf numFmtId="0" fontId="8" fillId="0" borderId="0" xfId="0" applyFont="1" applyFill="1" applyAlignment="1">
      <alignment wrapText="1"/>
    </xf>
    <xf numFmtId="167" fontId="3" fillId="0" borderId="1" xfId="0" applyNumberFormat="1" applyFont="1" applyFill="1" applyBorder="1" applyAlignment="1">
      <alignment horizontal="right" vertical="top" wrapText="1"/>
    </xf>
    <xf numFmtId="167" fontId="3" fillId="2" borderId="1" xfId="0" applyNumberFormat="1" applyFont="1" applyFill="1" applyBorder="1" applyAlignment="1">
      <alignment horizontal="right" vertical="center" wrapText="1"/>
    </xf>
    <xf numFmtId="167" fontId="3" fillId="2" borderId="3" xfId="0" applyNumberFormat="1" applyFont="1" applyFill="1" applyBorder="1" applyAlignment="1">
      <alignment horizontal="right" vertical="center" wrapText="1"/>
    </xf>
    <xf numFmtId="167" fontId="3" fillId="2" borderId="3" xfId="0" applyNumberFormat="1" applyFont="1" applyFill="1" applyBorder="1" applyAlignment="1">
      <alignment horizontal="right" wrapText="1"/>
    </xf>
    <xf numFmtId="167" fontId="3" fillId="2" borderId="1" xfId="0" applyNumberFormat="1" applyFont="1" applyFill="1" applyBorder="1" applyAlignment="1">
      <alignment horizontal="right" wrapText="1"/>
    </xf>
    <xf numFmtId="167" fontId="2" fillId="2" borderId="1" xfId="0" applyNumberFormat="1" applyFont="1" applyFill="1" applyBorder="1" applyAlignment="1">
      <alignment horizontal="right" wrapText="1"/>
    </xf>
    <xf numFmtId="167" fontId="4" fillId="2" borderId="1" xfId="0" applyNumberFormat="1" applyFont="1" applyFill="1" applyBorder="1" applyAlignment="1">
      <alignment horizontal="right" vertical="center" wrapText="1"/>
    </xf>
    <xf numFmtId="167" fontId="2" fillId="0" borderId="1" xfId="0" applyNumberFormat="1" applyFont="1" applyFill="1" applyBorder="1" applyAlignment="1">
      <alignment horizontal="right" wrapText="1"/>
    </xf>
    <xf numFmtId="164" fontId="3" fillId="0" borderId="2" xfId="0" applyNumberFormat="1" applyFont="1" applyFill="1" applyBorder="1" applyAlignment="1">
      <alignment horizontal="right" wrapText="1"/>
    </xf>
    <xf numFmtId="164" fontId="3" fillId="0" borderId="14" xfId="0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horizontal="left" wrapText="1"/>
    </xf>
    <xf numFmtId="164" fontId="3" fillId="0" borderId="1" xfId="0" applyNumberFormat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165" fontId="6" fillId="2" borderId="1" xfId="0" applyNumberFormat="1" applyFont="1" applyFill="1" applyBorder="1" applyAlignment="1">
      <alignment horizontal="center" vertical="top" wrapText="1"/>
    </xf>
    <xf numFmtId="165" fontId="6" fillId="2" borderId="2" xfId="0" applyNumberFormat="1" applyFont="1" applyFill="1" applyBorder="1" applyAlignment="1">
      <alignment horizontal="center" vertical="top" wrapText="1"/>
    </xf>
    <xf numFmtId="165" fontId="7" fillId="2" borderId="1" xfId="0" applyNumberFormat="1" applyFont="1" applyFill="1" applyBorder="1" applyAlignment="1">
      <alignment horizontal="center" vertical="top" wrapText="1"/>
    </xf>
    <xf numFmtId="165" fontId="4" fillId="2" borderId="1" xfId="0" applyNumberFormat="1" applyFont="1" applyFill="1" applyBorder="1" applyAlignment="1">
      <alignment horizontal="center" vertical="top" wrapText="1"/>
    </xf>
    <xf numFmtId="165" fontId="6" fillId="2" borderId="3" xfId="0" applyNumberFormat="1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left" wrapText="1"/>
    </xf>
    <xf numFmtId="165" fontId="7" fillId="2" borderId="1" xfId="0" applyNumberFormat="1" applyFont="1" applyFill="1" applyBorder="1" applyAlignment="1">
      <alignment horizontal="right" vertical="top" wrapText="1"/>
    </xf>
    <xf numFmtId="165" fontId="7" fillId="2" borderId="3" xfId="0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righ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5" fontId="7" fillId="2" borderId="1" xfId="0" applyNumberFormat="1" applyFont="1" applyFill="1" applyBorder="1" applyAlignment="1">
      <alignment vertical="top" wrapText="1"/>
    </xf>
    <xf numFmtId="164" fontId="7" fillId="2" borderId="1" xfId="0" applyNumberFormat="1" applyFont="1" applyFill="1" applyBorder="1" applyAlignment="1">
      <alignment horizontal="left" vertical="top" wrapText="1"/>
    </xf>
    <xf numFmtId="165" fontId="3" fillId="0" borderId="0" xfId="0" applyNumberFormat="1" applyFont="1" applyAlignment="1">
      <alignment horizont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11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11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165" fontId="6" fillId="2" borderId="2" xfId="0" applyNumberFormat="1" applyFont="1" applyFill="1" applyBorder="1" applyAlignment="1">
      <alignment horizontal="center" vertical="top" wrapText="1"/>
    </xf>
    <xf numFmtId="165" fontId="6" fillId="2" borderId="11" xfId="0" applyNumberFormat="1" applyFont="1" applyFill="1" applyBorder="1" applyAlignment="1">
      <alignment horizontal="center" vertical="top" wrapText="1"/>
    </xf>
    <xf numFmtId="165" fontId="6" fillId="2" borderId="3" xfId="0" applyNumberFormat="1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left" wrapText="1"/>
    </xf>
    <xf numFmtId="0" fontId="6" fillId="2" borderId="11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164" fontId="6" fillId="2" borderId="2" xfId="0" applyNumberFormat="1" applyFont="1" applyFill="1" applyBorder="1" applyAlignment="1">
      <alignment horizontal="left" vertical="top" wrapText="1"/>
    </xf>
    <xf numFmtId="164" fontId="6" fillId="2" borderId="11" xfId="0" applyNumberFormat="1" applyFont="1" applyFill="1" applyBorder="1" applyAlignment="1">
      <alignment horizontal="left" vertical="top" wrapText="1"/>
    </xf>
    <xf numFmtId="164" fontId="6" fillId="2" borderId="3" xfId="0" applyNumberFormat="1" applyFont="1" applyFill="1" applyBorder="1" applyAlignment="1">
      <alignment horizontal="left" vertical="top" wrapText="1"/>
    </xf>
    <xf numFmtId="165" fontId="4" fillId="2" borderId="2" xfId="0" applyNumberFormat="1" applyFont="1" applyFill="1" applyBorder="1" applyAlignment="1">
      <alignment horizontal="center" vertical="top" wrapText="1"/>
    </xf>
    <xf numFmtId="165" fontId="4" fillId="2" borderId="11" xfId="0" applyNumberFormat="1" applyFont="1" applyFill="1" applyBorder="1" applyAlignment="1">
      <alignment horizontal="center" vertical="top" wrapText="1"/>
    </xf>
    <xf numFmtId="165" fontId="4" fillId="2" borderId="3" xfId="0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166" fontId="4" fillId="2" borderId="2" xfId="0" applyNumberFormat="1" applyFont="1" applyFill="1" applyBorder="1" applyAlignment="1">
      <alignment horizontal="left" vertical="center" wrapText="1"/>
    </xf>
    <xf numFmtId="166" fontId="4" fillId="2" borderId="11" xfId="0" applyNumberFormat="1" applyFont="1" applyFill="1" applyBorder="1" applyAlignment="1">
      <alignment horizontal="left" vertical="center" wrapText="1"/>
    </xf>
    <xf numFmtId="166" fontId="4" fillId="2" borderId="3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7" fontId="3" fillId="0" borderId="2" xfId="0" applyNumberFormat="1" applyFont="1" applyFill="1" applyBorder="1" applyAlignment="1">
      <alignment horizontal="right" vertical="center" wrapText="1"/>
    </xf>
    <xf numFmtId="167" fontId="3" fillId="0" borderId="11" xfId="0" applyNumberFormat="1" applyFont="1" applyFill="1" applyBorder="1" applyAlignment="1">
      <alignment horizontal="right" vertical="center" wrapText="1"/>
    </xf>
    <xf numFmtId="167" fontId="3" fillId="0" borderId="3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wrapText="1"/>
    </xf>
    <xf numFmtId="0" fontId="5" fillId="0" borderId="12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167" fontId="3" fillId="2" borderId="2" xfId="0" applyNumberFormat="1" applyFont="1" applyFill="1" applyBorder="1" applyAlignment="1">
      <alignment horizontal="right" vertical="center" wrapText="1"/>
    </xf>
    <xf numFmtId="167" fontId="3" fillId="2" borderId="11" xfId="0" applyNumberFormat="1" applyFont="1" applyFill="1" applyBorder="1" applyAlignment="1">
      <alignment horizontal="right" vertical="center" wrapText="1"/>
    </xf>
    <xf numFmtId="167" fontId="3" fillId="2" borderId="3" xfId="0" applyNumberFormat="1" applyFont="1" applyFill="1" applyBorder="1" applyAlignment="1">
      <alignment horizontal="right" vertical="center" wrapText="1"/>
    </xf>
    <xf numFmtId="0" fontId="5" fillId="0" borderId="42" xfId="0" applyFont="1" applyFill="1" applyBorder="1" applyAlignment="1">
      <alignment horizontal="center" wrapText="1"/>
    </xf>
    <xf numFmtId="0" fontId="5" fillId="0" borderId="43" xfId="0" applyFont="1" applyFill="1" applyBorder="1" applyAlignment="1">
      <alignment horizontal="center" wrapText="1"/>
    </xf>
    <xf numFmtId="0" fontId="5" fillId="0" borderId="44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vertical="top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5" fillId="0" borderId="74" xfId="0" applyFont="1" applyFill="1" applyBorder="1" applyAlignment="1">
      <alignment horizontal="center" wrapText="1"/>
    </xf>
    <xf numFmtId="0" fontId="5" fillId="0" borderId="75" xfId="0" applyFont="1" applyFill="1" applyBorder="1" applyAlignment="1">
      <alignment horizontal="center" wrapText="1"/>
    </xf>
    <xf numFmtId="0" fontId="5" fillId="0" borderId="64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 wrapText="1"/>
    </xf>
    <xf numFmtId="0" fontId="4" fillId="2" borderId="11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4" fontId="4" fillId="2" borderId="2" xfId="0" applyNumberFormat="1" applyFont="1" applyFill="1" applyBorder="1" applyAlignment="1">
      <alignment horizontal="left" vertical="center" wrapText="1"/>
    </xf>
    <xf numFmtId="4" fontId="4" fillId="2" borderId="11" xfId="0" applyNumberFormat="1" applyFont="1" applyFill="1" applyBorder="1" applyAlignment="1">
      <alignment horizontal="left" vertical="center" wrapText="1"/>
    </xf>
    <xf numFmtId="4" fontId="4" fillId="2" borderId="3" xfId="0" applyNumberFormat="1" applyFont="1" applyFill="1" applyBorder="1" applyAlignment="1">
      <alignment horizontal="left" vertical="center" wrapText="1"/>
    </xf>
    <xf numFmtId="167" fontId="3" fillId="2" borderId="2" xfId="0" applyNumberFormat="1" applyFont="1" applyFill="1" applyBorder="1" applyAlignment="1">
      <alignment horizontal="right" wrapText="1"/>
    </xf>
    <xf numFmtId="167" fontId="3" fillId="2" borderId="11" xfId="0" applyNumberFormat="1" applyFont="1" applyFill="1" applyBorder="1" applyAlignment="1">
      <alignment horizontal="right" wrapText="1"/>
    </xf>
    <xf numFmtId="167" fontId="3" fillId="2" borderId="3" xfId="0" applyNumberFormat="1" applyFont="1" applyFill="1" applyBorder="1" applyAlignment="1">
      <alignment horizontal="right" wrapText="1"/>
    </xf>
    <xf numFmtId="0" fontId="4" fillId="2" borderId="2" xfId="0" applyFont="1" applyFill="1" applyBorder="1" applyAlignment="1">
      <alignment wrapText="1"/>
    </xf>
    <xf numFmtId="0" fontId="4" fillId="2" borderId="11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167" fontId="4" fillId="2" borderId="2" xfId="0" applyNumberFormat="1" applyFont="1" applyFill="1" applyBorder="1" applyAlignment="1">
      <alignment horizontal="right" wrapText="1"/>
    </xf>
    <xf numFmtId="167" fontId="4" fillId="2" borderId="11" xfId="0" applyNumberFormat="1" applyFont="1" applyFill="1" applyBorder="1" applyAlignment="1">
      <alignment horizontal="right" wrapText="1"/>
    </xf>
    <xf numFmtId="167" fontId="4" fillId="2" borderId="3" xfId="0" applyNumberFormat="1" applyFont="1" applyFill="1" applyBorder="1" applyAlignment="1">
      <alignment horizontal="right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4" fontId="4" fillId="2" borderId="2" xfId="0" applyNumberFormat="1" applyFont="1" applyFill="1" applyBorder="1" applyAlignment="1">
      <alignment horizontal="left" wrapText="1"/>
    </xf>
    <xf numFmtId="4" fontId="4" fillId="2" borderId="3" xfId="0" applyNumberFormat="1" applyFont="1" applyFill="1" applyBorder="1" applyAlignment="1">
      <alignment horizontal="left" wrapText="1"/>
    </xf>
    <xf numFmtId="167" fontId="4" fillId="2" borderId="2" xfId="0" applyNumberFormat="1" applyFont="1" applyFill="1" applyBorder="1" applyAlignment="1">
      <alignment horizontal="right" vertical="center" wrapText="1"/>
    </xf>
    <xf numFmtId="167" fontId="4" fillId="2" borderId="3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Обычный_1216011" xfId="2"/>
    <cellStyle name="Обычный_1216016" xfId="4"/>
    <cellStyle name="Обычный_Лист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44"/>
  <sheetViews>
    <sheetView tabSelected="1" view="pageBreakPreview" zoomScale="60" zoomScaleNormal="110" workbookViewId="0">
      <pane ySplit="3" topLeftCell="A1210" activePane="bottomLeft" state="frozen"/>
      <selection pane="bottomLeft" activeCell="A935" sqref="A935:XFD935"/>
    </sheetView>
  </sheetViews>
  <sheetFormatPr defaultColWidth="9.140625" defaultRowHeight="15.75"/>
  <cols>
    <col min="1" max="1" width="63.42578125" style="67" customWidth="1"/>
    <col min="2" max="2" width="51" style="30" customWidth="1"/>
    <col min="3" max="3" width="47.7109375" style="30" customWidth="1"/>
    <col min="4" max="4" width="16.28515625" style="275" customWidth="1"/>
    <col min="5" max="6" width="16.7109375" style="275" customWidth="1"/>
    <col min="7" max="7" width="21" style="30" customWidth="1"/>
    <col min="8" max="16384" width="9.140625" style="30"/>
  </cols>
  <sheetData>
    <row r="1" spans="1:7" ht="45" customHeight="1" thickBot="1">
      <c r="A1" s="399" t="s">
        <v>659</v>
      </c>
      <c r="B1" s="399"/>
      <c r="C1" s="399"/>
      <c r="D1" s="399"/>
      <c r="E1" s="399"/>
      <c r="F1" s="399"/>
      <c r="G1" s="399"/>
    </row>
    <row r="2" spans="1:7">
      <c r="A2" s="400" t="s">
        <v>2</v>
      </c>
      <c r="B2" s="400" t="s">
        <v>0</v>
      </c>
      <c r="C2" s="400" t="s">
        <v>3</v>
      </c>
      <c r="D2" s="402" t="s">
        <v>4</v>
      </c>
      <c r="E2" s="402"/>
      <c r="F2" s="402"/>
      <c r="G2" s="400" t="s">
        <v>7</v>
      </c>
    </row>
    <row r="3" spans="1:7" ht="78.75">
      <c r="A3" s="401"/>
      <c r="B3" s="401"/>
      <c r="C3" s="401"/>
      <c r="D3" s="68" t="s">
        <v>9</v>
      </c>
      <c r="E3" s="68" t="s">
        <v>8</v>
      </c>
      <c r="F3" s="68" t="s">
        <v>5</v>
      </c>
      <c r="G3" s="401"/>
    </row>
    <row r="4" spans="1:7" s="67" customFormat="1">
      <c r="A4" s="386" t="s">
        <v>197</v>
      </c>
      <c r="B4" s="386"/>
      <c r="C4" s="386"/>
      <c r="D4" s="386"/>
      <c r="E4" s="386"/>
      <c r="F4" s="386"/>
      <c r="G4" s="386"/>
    </row>
    <row r="5" spans="1:7" s="67" customFormat="1" ht="47.25">
      <c r="A5" s="31" t="s">
        <v>830</v>
      </c>
      <c r="B5" s="4" t="s">
        <v>194</v>
      </c>
      <c r="C5" s="55" t="s">
        <v>831</v>
      </c>
      <c r="D5" s="60">
        <v>134.113</v>
      </c>
      <c r="E5" s="60">
        <v>134.113</v>
      </c>
      <c r="F5" s="60">
        <v>134.113</v>
      </c>
      <c r="G5" s="55" t="s">
        <v>832</v>
      </c>
    </row>
    <row r="6" spans="1:7" s="67" customFormat="1" ht="47.25">
      <c r="A6" s="31" t="s">
        <v>830</v>
      </c>
      <c r="B6" s="4" t="s">
        <v>194</v>
      </c>
      <c r="C6" s="55" t="s">
        <v>833</v>
      </c>
      <c r="D6" s="60">
        <v>2.0179999999999998</v>
      </c>
      <c r="E6" s="60">
        <v>2.0179999999999998</v>
      </c>
      <c r="F6" s="60">
        <v>2.0179999999999998</v>
      </c>
      <c r="G6" s="55" t="s">
        <v>834</v>
      </c>
    </row>
    <row r="7" spans="1:7" s="67" customFormat="1" ht="31.5">
      <c r="A7" s="31" t="s">
        <v>830</v>
      </c>
      <c r="B7" s="4" t="s">
        <v>194</v>
      </c>
      <c r="C7" s="55" t="s">
        <v>835</v>
      </c>
      <c r="D7" s="60">
        <v>285.55900000000003</v>
      </c>
      <c r="E7" s="60">
        <v>285.55900000000003</v>
      </c>
      <c r="F7" s="60">
        <v>285.55900000000003</v>
      </c>
      <c r="G7" s="55" t="s">
        <v>832</v>
      </c>
    </row>
    <row r="8" spans="1:7" s="67" customFormat="1" ht="31.5">
      <c r="A8" s="31" t="s">
        <v>830</v>
      </c>
      <c r="B8" s="4" t="s">
        <v>194</v>
      </c>
      <c r="C8" s="55" t="s">
        <v>836</v>
      </c>
      <c r="D8" s="60">
        <v>4.2359999999999998</v>
      </c>
      <c r="E8" s="60">
        <v>4.2359999999999998</v>
      </c>
      <c r="F8" s="60">
        <v>4.2359999999999998</v>
      </c>
      <c r="G8" s="55" t="s">
        <v>834</v>
      </c>
    </row>
    <row r="9" spans="1:7" s="67" customFormat="1" ht="31.5">
      <c r="A9" s="31" t="s">
        <v>830</v>
      </c>
      <c r="B9" s="4" t="s">
        <v>194</v>
      </c>
      <c r="C9" s="55" t="s">
        <v>837</v>
      </c>
      <c r="D9" s="60">
        <v>179.976</v>
      </c>
      <c r="E9" s="60">
        <v>179.976</v>
      </c>
      <c r="F9" s="60">
        <v>179.976</v>
      </c>
      <c r="G9" s="55" t="s">
        <v>838</v>
      </c>
    </row>
    <row r="10" spans="1:7" s="67" customFormat="1" ht="31.5">
      <c r="A10" s="31" t="s">
        <v>830</v>
      </c>
      <c r="B10" s="4" t="s">
        <v>194</v>
      </c>
      <c r="C10" s="55" t="s">
        <v>839</v>
      </c>
      <c r="D10" s="60">
        <v>3.4060000000000001</v>
      </c>
      <c r="E10" s="60">
        <v>3.4060000000000001</v>
      </c>
      <c r="F10" s="60">
        <v>3.4060000000000001</v>
      </c>
      <c r="G10" s="55" t="s">
        <v>834</v>
      </c>
    </row>
    <row r="11" spans="1:7" s="67" customFormat="1" ht="31.5">
      <c r="A11" s="31" t="s">
        <v>830</v>
      </c>
      <c r="B11" s="4" t="s">
        <v>194</v>
      </c>
      <c r="C11" s="55" t="s">
        <v>837</v>
      </c>
      <c r="D11" s="61">
        <v>444.45</v>
      </c>
      <c r="E11" s="61">
        <v>444.45</v>
      </c>
      <c r="F11" s="61">
        <v>444.45</v>
      </c>
      <c r="G11" s="55" t="s">
        <v>832</v>
      </c>
    </row>
    <row r="12" spans="1:7" s="67" customFormat="1" ht="31.5">
      <c r="A12" s="31" t="s">
        <v>830</v>
      </c>
      <c r="B12" s="4" t="s">
        <v>194</v>
      </c>
      <c r="C12" s="55" t="s">
        <v>839</v>
      </c>
      <c r="D12" s="60">
        <v>8.2119999999999997</v>
      </c>
      <c r="E12" s="60">
        <v>8.2119999999999997</v>
      </c>
      <c r="F12" s="60">
        <v>8.2119999999999997</v>
      </c>
      <c r="G12" s="55" t="s">
        <v>834</v>
      </c>
    </row>
    <row r="13" spans="1:7" s="67" customFormat="1" ht="47.25">
      <c r="A13" s="31" t="s">
        <v>830</v>
      </c>
      <c r="B13" s="4" t="s">
        <v>194</v>
      </c>
      <c r="C13" s="55" t="s">
        <v>840</v>
      </c>
      <c r="D13" s="60">
        <v>59.975999999999999</v>
      </c>
      <c r="E13" s="60">
        <v>59.975999999999999</v>
      </c>
      <c r="F13" s="60">
        <v>59.975999999999999</v>
      </c>
      <c r="G13" s="55" t="s">
        <v>841</v>
      </c>
    </row>
    <row r="14" spans="1:7" s="67" customFormat="1" ht="31.5">
      <c r="A14" s="31" t="s">
        <v>830</v>
      </c>
      <c r="B14" s="4" t="s">
        <v>194</v>
      </c>
      <c r="C14" s="55" t="s">
        <v>842</v>
      </c>
      <c r="D14" s="60">
        <v>2.4620000000000002</v>
      </c>
      <c r="E14" s="60">
        <v>2.4620000000000002</v>
      </c>
      <c r="F14" s="60">
        <v>2.4620000000000002</v>
      </c>
      <c r="G14" s="55" t="s">
        <v>841</v>
      </c>
    </row>
    <row r="15" spans="1:7" s="67" customFormat="1" ht="47.25">
      <c r="A15" s="31" t="s">
        <v>830</v>
      </c>
      <c r="B15" s="4" t="s">
        <v>194</v>
      </c>
      <c r="C15" s="55" t="s">
        <v>843</v>
      </c>
      <c r="D15" s="61">
        <v>3.56</v>
      </c>
      <c r="E15" s="61">
        <v>3.56</v>
      </c>
      <c r="F15" s="61">
        <v>3.56</v>
      </c>
      <c r="G15" s="55" t="s">
        <v>844</v>
      </c>
    </row>
    <row r="16" spans="1:7" s="67" customFormat="1" ht="31.5">
      <c r="A16" s="31"/>
      <c r="B16" s="4" t="s">
        <v>194</v>
      </c>
      <c r="C16" s="55" t="s">
        <v>845</v>
      </c>
      <c r="D16" s="61">
        <v>68.8</v>
      </c>
      <c r="E16" s="61">
        <v>68.8</v>
      </c>
      <c r="F16" s="61">
        <v>68.8</v>
      </c>
      <c r="G16" s="55" t="s">
        <v>846</v>
      </c>
    </row>
    <row r="17" spans="1:7" s="67" customFormat="1" ht="31.5">
      <c r="A17" s="31" t="s">
        <v>830</v>
      </c>
      <c r="B17" s="4" t="s">
        <v>194</v>
      </c>
      <c r="C17" s="6" t="s">
        <v>847</v>
      </c>
      <c r="D17" s="59">
        <v>2.052</v>
      </c>
      <c r="E17" s="59">
        <v>2.052</v>
      </c>
      <c r="F17" s="59">
        <v>2.052</v>
      </c>
      <c r="G17" s="35" t="s">
        <v>848</v>
      </c>
    </row>
    <row r="18" spans="1:7" s="67" customFormat="1">
      <c r="A18" s="71"/>
      <c r="B18" s="62" t="s">
        <v>1</v>
      </c>
      <c r="C18" s="276" t="s">
        <v>6</v>
      </c>
      <c r="D18" s="277">
        <f>SUM(D5:D17)</f>
        <v>1198.8199999999997</v>
      </c>
      <c r="E18" s="277">
        <f>SUM(E5:E17)</f>
        <v>1198.8199999999997</v>
      </c>
      <c r="F18" s="277">
        <f>SUM(F5:F17)</f>
        <v>1198.8199999999997</v>
      </c>
      <c r="G18" s="276" t="s">
        <v>6</v>
      </c>
    </row>
    <row r="19" spans="1:7" s="38" customFormat="1">
      <c r="A19" s="386" t="s">
        <v>10</v>
      </c>
      <c r="B19" s="386"/>
      <c r="C19" s="386"/>
      <c r="D19" s="386"/>
      <c r="E19" s="386"/>
      <c r="F19" s="386"/>
      <c r="G19" s="386"/>
    </row>
    <row r="20" spans="1:7" s="38" customFormat="1" ht="31.5">
      <c r="A20" s="351" t="s">
        <v>977</v>
      </c>
      <c r="B20" s="351" t="s">
        <v>969</v>
      </c>
      <c r="C20" s="2" t="s">
        <v>978</v>
      </c>
      <c r="D20" s="354">
        <v>591.62699999999995</v>
      </c>
      <c r="E20" s="354">
        <v>591.62699999999995</v>
      </c>
      <c r="F20" s="2">
        <f>268.123+167.781+100.342</f>
        <v>536.24599999999998</v>
      </c>
      <c r="G20" s="9" t="s">
        <v>973</v>
      </c>
    </row>
    <row r="21" spans="1:7" s="38" customFormat="1" ht="63">
      <c r="A21" s="353"/>
      <c r="B21" s="353"/>
      <c r="C21" s="2" t="s">
        <v>979</v>
      </c>
      <c r="D21" s="356"/>
      <c r="E21" s="356"/>
      <c r="F21" s="2">
        <f>9.25906+2.02912</f>
        <v>11.288180000000001</v>
      </c>
      <c r="G21" s="9" t="s">
        <v>980</v>
      </c>
    </row>
    <row r="22" spans="1:7" s="38" customFormat="1" ht="63">
      <c r="A22" s="351" t="s">
        <v>981</v>
      </c>
      <c r="B22" s="351" t="s">
        <v>982</v>
      </c>
      <c r="C22" s="2" t="s">
        <v>983</v>
      </c>
      <c r="D22" s="354">
        <v>6206.4530000000004</v>
      </c>
      <c r="E22" s="354">
        <v>6206.4530000000004</v>
      </c>
      <c r="F22" s="2">
        <f>330.44939+2324.06219+2591.54875</f>
        <v>5246.0603300000002</v>
      </c>
      <c r="G22" s="9" t="s">
        <v>984</v>
      </c>
    </row>
    <row r="23" spans="1:7" s="38" customFormat="1" ht="63">
      <c r="A23" s="353"/>
      <c r="B23" s="353"/>
      <c r="C23" s="2" t="s">
        <v>985</v>
      </c>
      <c r="D23" s="356"/>
      <c r="E23" s="356"/>
      <c r="F23" s="2">
        <f>6.4782+101.94412</f>
        <v>108.42232</v>
      </c>
      <c r="G23" s="9" t="s">
        <v>137</v>
      </c>
    </row>
    <row r="24" spans="1:7" s="38" customFormat="1" ht="47.25">
      <c r="A24" s="351" t="s">
        <v>986</v>
      </c>
      <c r="B24" s="351" t="s">
        <v>966</v>
      </c>
      <c r="C24" s="2" t="s">
        <v>987</v>
      </c>
      <c r="D24" s="354">
        <v>123.01300000000001</v>
      </c>
      <c r="E24" s="354">
        <v>123.01300000000001</v>
      </c>
      <c r="F24" s="2">
        <f>94.74759</f>
        <v>94.747590000000002</v>
      </c>
      <c r="G24" s="9" t="s">
        <v>988</v>
      </c>
    </row>
    <row r="25" spans="1:7" s="38" customFormat="1" ht="47.25">
      <c r="A25" s="353"/>
      <c r="B25" s="353"/>
      <c r="C25" s="2" t="s">
        <v>987</v>
      </c>
      <c r="D25" s="356"/>
      <c r="E25" s="356"/>
      <c r="F25" s="2">
        <f>23.21798+0.69654</f>
        <v>23.91452</v>
      </c>
      <c r="G25" s="9" t="s">
        <v>988</v>
      </c>
    </row>
    <row r="26" spans="1:7" s="38" customFormat="1" ht="47.25">
      <c r="A26" s="351" t="s">
        <v>989</v>
      </c>
      <c r="B26" s="351" t="s">
        <v>990</v>
      </c>
      <c r="C26" s="2" t="s">
        <v>991</v>
      </c>
      <c r="D26" s="354">
        <v>8159.027</v>
      </c>
      <c r="E26" s="354">
        <v>8159.027</v>
      </c>
      <c r="F26" s="2">
        <f>681.03389+658.42998</f>
        <v>1339.46387</v>
      </c>
      <c r="G26" s="9" t="s">
        <v>580</v>
      </c>
    </row>
    <row r="27" spans="1:7" s="38" customFormat="1" ht="63">
      <c r="A27" s="353"/>
      <c r="B27" s="353"/>
      <c r="C27" s="2" t="s">
        <v>992</v>
      </c>
      <c r="D27" s="356"/>
      <c r="E27" s="356"/>
      <c r="F27" s="2">
        <f>14.28152+13.73952</f>
        <v>28.021039999999999</v>
      </c>
      <c r="G27" s="9" t="s">
        <v>137</v>
      </c>
    </row>
    <row r="28" spans="1:7" s="38" customFormat="1" ht="31.5">
      <c r="A28" s="351" t="s">
        <v>573</v>
      </c>
      <c r="B28" s="351" t="s">
        <v>972</v>
      </c>
      <c r="C28" s="2" t="s">
        <v>574</v>
      </c>
      <c r="D28" s="354">
        <v>4190</v>
      </c>
      <c r="E28" s="354">
        <v>4190</v>
      </c>
      <c r="F28" s="2">
        <f>800+58.90378+779.58762</f>
        <v>1638.4913999999999</v>
      </c>
      <c r="G28" s="10" t="s">
        <v>26</v>
      </c>
    </row>
    <row r="29" spans="1:7" s="38" customFormat="1" ht="63">
      <c r="A29" s="352"/>
      <c r="B29" s="352"/>
      <c r="C29" s="2" t="s">
        <v>575</v>
      </c>
      <c r="D29" s="355"/>
      <c r="E29" s="355"/>
      <c r="F29" s="2">
        <f>18.07832+16.45139+21.1144</f>
        <v>55.644109999999998</v>
      </c>
      <c r="G29" s="9" t="s">
        <v>137</v>
      </c>
    </row>
    <row r="30" spans="1:7" s="38" customFormat="1" ht="47.25">
      <c r="A30" s="352"/>
      <c r="B30" s="352"/>
      <c r="C30" s="2" t="s">
        <v>574</v>
      </c>
      <c r="D30" s="355"/>
      <c r="E30" s="355"/>
      <c r="F30" s="2">
        <f>1000</f>
        <v>1000</v>
      </c>
      <c r="G30" s="9" t="s">
        <v>984</v>
      </c>
    </row>
    <row r="31" spans="1:7" s="38" customFormat="1" ht="47.25">
      <c r="A31" s="353"/>
      <c r="B31" s="353"/>
      <c r="C31" s="2" t="s">
        <v>993</v>
      </c>
      <c r="D31" s="356"/>
      <c r="E31" s="356"/>
      <c r="F31" s="2">
        <f>60.0538</f>
        <v>60.053800000000003</v>
      </c>
      <c r="G31" s="9" t="s">
        <v>994</v>
      </c>
    </row>
    <row r="32" spans="1:7" s="38" customFormat="1" ht="63">
      <c r="A32" s="8" t="s">
        <v>569</v>
      </c>
      <c r="B32" s="1" t="s">
        <v>995</v>
      </c>
      <c r="C32" s="2" t="s">
        <v>27</v>
      </c>
      <c r="D32" s="9">
        <v>2000</v>
      </c>
      <c r="E32" s="9">
        <v>2000</v>
      </c>
      <c r="F32" s="2">
        <v>2000</v>
      </c>
      <c r="G32" s="10" t="s">
        <v>570</v>
      </c>
    </row>
    <row r="33" spans="1:7" s="38" customFormat="1" ht="47.25">
      <c r="A33" s="351" t="s">
        <v>996</v>
      </c>
      <c r="B33" s="351" t="s">
        <v>997</v>
      </c>
      <c r="C33" s="2" t="s">
        <v>576</v>
      </c>
      <c r="D33" s="354">
        <v>994.56100000000004</v>
      </c>
      <c r="E33" s="354">
        <v>994.56100000000004</v>
      </c>
      <c r="F33" s="2">
        <f>485.759+359.45478-171.21966+50.32206+201.06324+46.11745</f>
        <v>971.49686999999994</v>
      </c>
      <c r="G33" s="2" t="s">
        <v>28</v>
      </c>
    </row>
    <row r="34" spans="1:7" s="38" customFormat="1" ht="63">
      <c r="A34" s="352"/>
      <c r="B34" s="352"/>
      <c r="C34" s="2" t="s">
        <v>577</v>
      </c>
      <c r="D34" s="355"/>
      <c r="E34" s="355"/>
      <c r="F34" s="2">
        <f>7.5438+6.62484+1.06849+4.23851+0.93896</f>
        <v>20.4146</v>
      </c>
      <c r="G34" s="9" t="s">
        <v>137</v>
      </c>
    </row>
    <row r="35" spans="1:7" s="38" customFormat="1" ht="47.25">
      <c r="A35" s="353"/>
      <c r="B35" s="353"/>
      <c r="C35" s="2" t="s">
        <v>998</v>
      </c>
      <c r="D35" s="356"/>
      <c r="E35" s="356"/>
      <c r="F35" s="2">
        <f>2.565</f>
        <v>2.5649999999999999</v>
      </c>
      <c r="G35" s="9" t="s">
        <v>999</v>
      </c>
    </row>
    <row r="36" spans="1:7" s="38" customFormat="1" ht="31.5">
      <c r="A36" s="351" t="s">
        <v>1000</v>
      </c>
      <c r="B36" s="351" t="s">
        <v>1001</v>
      </c>
      <c r="C36" s="2" t="s">
        <v>1002</v>
      </c>
      <c r="D36" s="354">
        <v>203.04300000000001</v>
      </c>
      <c r="E36" s="354">
        <v>203.04300000000001</v>
      </c>
      <c r="F36" s="2">
        <f>99.44243+87.40455</f>
        <v>186.84698</v>
      </c>
      <c r="G36" s="9" t="s">
        <v>29</v>
      </c>
    </row>
    <row r="37" spans="1:7" s="38" customFormat="1" ht="63">
      <c r="A37" s="353"/>
      <c r="B37" s="353"/>
      <c r="C37" s="2" t="s">
        <v>1003</v>
      </c>
      <c r="D37" s="356"/>
      <c r="E37" s="356"/>
      <c r="F37" s="2">
        <f>3.92304</f>
        <v>3.9230399999999999</v>
      </c>
      <c r="G37" s="9" t="s">
        <v>137</v>
      </c>
    </row>
    <row r="38" spans="1:7" s="38" customFormat="1" ht="31.5">
      <c r="A38" s="351" t="s">
        <v>578</v>
      </c>
      <c r="B38" s="351" t="s">
        <v>1004</v>
      </c>
      <c r="C38" s="2" t="s">
        <v>579</v>
      </c>
      <c r="D38" s="354">
        <v>1348.1089999999999</v>
      </c>
      <c r="E38" s="354">
        <v>1348.1089999999999</v>
      </c>
      <c r="F38" s="2">
        <f>330.275+109.91386+159.39482+26.56153+108.47687</f>
        <v>734.62207999999987</v>
      </c>
      <c r="G38" s="9" t="s">
        <v>580</v>
      </c>
    </row>
    <row r="39" spans="1:7" s="38" customFormat="1" ht="63">
      <c r="A39" s="352"/>
      <c r="B39" s="352"/>
      <c r="C39" s="2" t="s">
        <v>1005</v>
      </c>
      <c r="D39" s="355"/>
      <c r="E39" s="355"/>
      <c r="F39" s="2">
        <f>2.27098+2.53567+2.10649+2.28193+3.31374+0.55219</f>
        <v>13.061</v>
      </c>
      <c r="G39" s="9" t="s">
        <v>137</v>
      </c>
    </row>
    <row r="40" spans="1:7" s="38" customFormat="1" ht="63">
      <c r="A40" s="353"/>
      <c r="B40" s="353"/>
      <c r="C40" s="2" t="s">
        <v>1005</v>
      </c>
      <c r="D40" s="356"/>
      <c r="E40" s="356"/>
      <c r="F40" s="2">
        <f>3.37493</f>
        <v>3.37493</v>
      </c>
      <c r="G40" s="9" t="s">
        <v>137</v>
      </c>
    </row>
    <row r="41" spans="1:7" s="38" customFormat="1" ht="31.5">
      <c r="A41" s="351" t="s">
        <v>565</v>
      </c>
      <c r="B41" s="351" t="s">
        <v>1006</v>
      </c>
      <c r="C41" s="2" t="s">
        <v>1007</v>
      </c>
      <c r="D41" s="354">
        <v>4200</v>
      </c>
      <c r="E41" s="354">
        <v>4200</v>
      </c>
      <c r="F41" s="2">
        <f>1479.19593+379.43633+593.77932+334.75222+1323.09174</f>
        <v>4110.2555400000001</v>
      </c>
      <c r="G41" s="9" t="s">
        <v>1008</v>
      </c>
    </row>
    <row r="42" spans="1:7" s="38" customFormat="1" ht="63">
      <c r="A42" s="352"/>
      <c r="B42" s="352"/>
      <c r="C42" s="2" t="s">
        <v>1009</v>
      </c>
      <c r="D42" s="355"/>
      <c r="E42" s="355"/>
      <c r="F42" s="2">
        <f>38.63045+12.38021+6.95722+21.34201</f>
        <v>79.309889999999996</v>
      </c>
      <c r="G42" s="9" t="s">
        <v>137</v>
      </c>
    </row>
    <row r="43" spans="1:7" s="38" customFormat="1" ht="47.25">
      <c r="A43" s="353"/>
      <c r="B43" s="353"/>
      <c r="C43" s="2" t="s">
        <v>1010</v>
      </c>
      <c r="D43" s="356"/>
      <c r="E43" s="356"/>
      <c r="F43" s="2">
        <v>5.4</v>
      </c>
      <c r="G43" s="9" t="s">
        <v>1011</v>
      </c>
    </row>
    <row r="44" spans="1:7" s="38" customFormat="1" ht="31.5">
      <c r="A44" s="351" t="s">
        <v>571</v>
      </c>
      <c r="B44" s="351" t="s">
        <v>1012</v>
      </c>
      <c r="C44" s="2" t="s">
        <v>1013</v>
      </c>
      <c r="D44" s="354">
        <v>13113.800999999999</v>
      </c>
      <c r="E44" s="354">
        <v>13113.800999999999</v>
      </c>
      <c r="F44" s="2">
        <f>4000+2217.38611+1783.42757+2890+1839.79624</f>
        <v>12730.609919999999</v>
      </c>
      <c r="G44" s="10" t="s">
        <v>570</v>
      </c>
    </row>
    <row r="45" spans="1:7" s="38" customFormat="1" ht="63">
      <c r="A45" s="352"/>
      <c r="B45" s="352"/>
      <c r="C45" s="29" t="s">
        <v>572</v>
      </c>
      <c r="D45" s="355"/>
      <c r="E45" s="355"/>
      <c r="F45" s="29">
        <f>46.79983+82.38362+36.13268+99.09738+1.18949</f>
        <v>265.60299999999995</v>
      </c>
      <c r="G45" s="9" t="s">
        <v>137</v>
      </c>
    </row>
    <row r="46" spans="1:7" s="38" customFormat="1" ht="31.5">
      <c r="A46" s="352"/>
      <c r="B46" s="352"/>
      <c r="C46" s="2" t="s">
        <v>1014</v>
      </c>
      <c r="D46" s="355"/>
      <c r="E46" s="355"/>
      <c r="F46" s="2">
        <f>57.06966</f>
        <v>57.069659999999999</v>
      </c>
      <c r="G46" s="9" t="s">
        <v>1015</v>
      </c>
    </row>
    <row r="47" spans="1:7" s="38" customFormat="1" ht="47.25">
      <c r="A47" s="353"/>
      <c r="B47" s="353"/>
      <c r="C47" s="2" t="s">
        <v>1016</v>
      </c>
      <c r="D47" s="356"/>
      <c r="E47" s="356"/>
      <c r="F47" s="2">
        <v>60.5184</v>
      </c>
      <c r="G47" s="9" t="s">
        <v>1017</v>
      </c>
    </row>
    <row r="48" spans="1:7" s="38" customFormat="1" ht="31.5">
      <c r="A48" s="351" t="s">
        <v>581</v>
      </c>
      <c r="B48" s="351" t="s">
        <v>1018</v>
      </c>
      <c r="C48" s="2" t="s">
        <v>582</v>
      </c>
      <c r="D48" s="354">
        <v>1900.7560000000001</v>
      </c>
      <c r="E48" s="354">
        <v>1900.7560000000001</v>
      </c>
      <c r="F48" s="2">
        <f>514.72492+196.04454+318.68039+252.151+252.151</f>
        <v>1533.7518500000001</v>
      </c>
      <c r="G48" s="9" t="s">
        <v>583</v>
      </c>
    </row>
    <row r="49" spans="1:7" s="38" customFormat="1" ht="63">
      <c r="A49" s="353"/>
      <c r="B49" s="353"/>
      <c r="C49" s="2" t="s">
        <v>1019</v>
      </c>
      <c r="D49" s="356"/>
      <c r="E49" s="356"/>
      <c r="F49" s="2">
        <f>16.67083+7.25828+11.93862</f>
        <v>35.867729999999995</v>
      </c>
      <c r="G49" s="9" t="s">
        <v>137</v>
      </c>
    </row>
    <row r="50" spans="1:7" s="38" customFormat="1" ht="31.5">
      <c r="A50" s="351" t="s">
        <v>1020</v>
      </c>
      <c r="B50" s="351" t="s">
        <v>1021</v>
      </c>
      <c r="C50" s="2" t="s">
        <v>1022</v>
      </c>
      <c r="D50" s="354">
        <v>1992.6310000000001</v>
      </c>
      <c r="E50" s="354">
        <v>1992.6310000000001</v>
      </c>
      <c r="F50" s="2">
        <f>155.21148+154.74227+602.51618</f>
        <v>912.46992999999998</v>
      </c>
      <c r="G50" s="9" t="s">
        <v>976</v>
      </c>
    </row>
    <row r="51" spans="1:7" s="38" customFormat="1" ht="63">
      <c r="A51" s="352"/>
      <c r="B51" s="352"/>
      <c r="C51" s="2" t="s">
        <v>1023</v>
      </c>
      <c r="D51" s="355"/>
      <c r="E51" s="355"/>
      <c r="F51" s="2">
        <f>3.18644+3.23412+12.47759+3.22052</f>
        <v>22.118670000000002</v>
      </c>
      <c r="G51" s="9" t="s">
        <v>137</v>
      </c>
    </row>
    <row r="52" spans="1:7" s="38" customFormat="1" ht="47.25">
      <c r="A52" s="352"/>
      <c r="B52" s="352"/>
      <c r="C52" s="2" t="s">
        <v>1024</v>
      </c>
      <c r="D52" s="355"/>
      <c r="E52" s="355"/>
      <c r="F52" s="2">
        <f>6.75+21.6</f>
        <v>28.35</v>
      </c>
      <c r="G52" s="9" t="s">
        <v>312</v>
      </c>
    </row>
    <row r="53" spans="1:7" s="38" customFormat="1" ht="47.25">
      <c r="A53" s="353"/>
      <c r="B53" s="353"/>
      <c r="C53" s="2" t="s">
        <v>1025</v>
      </c>
      <c r="D53" s="356"/>
      <c r="E53" s="356"/>
      <c r="F53" s="2">
        <v>71.423699999999997</v>
      </c>
      <c r="G53" s="9" t="s">
        <v>312</v>
      </c>
    </row>
    <row r="54" spans="1:7" s="38" customFormat="1" ht="31.5">
      <c r="A54" s="351" t="s">
        <v>1026</v>
      </c>
      <c r="B54" s="351" t="s">
        <v>1027</v>
      </c>
      <c r="C54" s="2" t="s">
        <v>1028</v>
      </c>
      <c r="D54" s="354">
        <v>910.51</v>
      </c>
      <c r="E54" s="354">
        <v>910.51</v>
      </c>
      <c r="F54" s="2">
        <f>361.1982+316.62914+44.56906+83.18193</f>
        <v>805.57833000000005</v>
      </c>
      <c r="G54" s="9" t="s">
        <v>580</v>
      </c>
    </row>
    <row r="55" spans="1:7" s="38" customFormat="1" ht="63">
      <c r="A55" s="353"/>
      <c r="B55" s="353"/>
      <c r="C55" s="2" t="s">
        <v>1029</v>
      </c>
      <c r="D55" s="356"/>
      <c r="E55" s="356"/>
      <c r="F55" s="2">
        <f>6.6405+2.3999+1.48996+4.58507+1.70056</f>
        <v>16.815989999999999</v>
      </c>
      <c r="G55" s="9" t="s">
        <v>137</v>
      </c>
    </row>
    <row r="56" spans="1:7" s="38" customFormat="1" ht="63">
      <c r="A56" s="351" t="s">
        <v>1030</v>
      </c>
      <c r="B56" s="351" t="s">
        <v>1031</v>
      </c>
      <c r="C56" s="2" t="s">
        <v>1032</v>
      </c>
      <c r="D56" s="354">
        <v>2096.502</v>
      </c>
      <c r="E56" s="354">
        <v>2096.502</v>
      </c>
      <c r="F56" s="2">
        <f>17.9758+22.96948</f>
        <v>40.945279999999997</v>
      </c>
      <c r="G56" s="9" t="s">
        <v>137</v>
      </c>
    </row>
    <row r="57" spans="1:7" s="38" customFormat="1" ht="47.25">
      <c r="A57" s="353"/>
      <c r="B57" s="353"/>
      <c r="C57" s="2" t="s">
        <v>1033</v>
      </c>
      <c r="D57" s="355"/>
      <c r="E57" s="355"/>
      <c r="F57" s="2">
        <f>868.08498+1115.58816</f>
        <v>1983.6731399999999</v>
      </c>
      <c r="G57" s="9" t="s">
        <v>984</v>
      </c>
    </row>
    <row r="58" spans="1:7" s="38" customFormat="1" ht="31.5">
      <c r="A58" s="351" t="s">
        <v>974</v>
      </c>
      <c r="B58" s="351" t="s">
        <v>975</v>
      </c>
      <c r="C58" s="2" t="s">
        <v>1034</v>
      </c>
      <c r="D58" s="354">
        <v>1700</v>
      </c>
      <c r="E58" s="354">
        <v>1700</v>
      </c>
      <c r="F58" s="2">
        <v>79.318200000000004</v>
      </c>
      <c r="G58" s="9" t="s">
        <v>1011</v>
      </c>
    </row>
    <row r="59" spans="1:7" s="38" customFormat="1" ht="31.5">
      <c r="A59" s="352"/>
      <c r="B59" s="352"/>
      <c r="C59" s="2" t="s">
        <v>1035</v>
      </c>
      <c r="D59" s="355"/>
      <c r="E59" s="355"/>
      <c r="F59" s="2">
        <f>730+672.85458+52.82824+44.30818</f>
        <v>1499.9910000000002</v>
      </c>
      <c r="G59" s="9" t="s">
        <v>1008</v>
      </c>
    </row>
    <row r="60" spans="1:7" s="38" customFormat="1" ht="47.25">
      <c r="A60" s="352"/>
      <c r="B60" s="352"/>
      <c r="C60" s="2" t="s">
        <v>1036</v>
      </c>
      <c r="D60" s="355"/>
      <c r="E60" s="355"/>
      <c r="F60" s="2">
        <f>4.617</f>
        <v>4.617</v>
      </c>
      <c r="G60" s="9" t="s">
        <v>1011</v>
      </c>
    </row>
    <row r="61" spans="1:7" s="38" customFormat="1" ht="63">
      <c r="A61" s="353"/>
      <c r="B61" s="353"/>
      <c r="C61" s="2" t="s">
        <v>1037</v>
      </c>
      <c r="D61" s="356"/>
      <c r="E61" s="356"/>
      <c r="F61" s="2">
        <f>1.05+0.93414</f>
        <v>1.98414</v>
      </c>
      <c r="G61" s="9" t="s">
        <v>137</v>
      </c>
    </row>
    <row r="62" spans="1:7" s="38" customFormat="1" ht="47.25">
      <c r="A62" s="351" t="s">
        <v>584</v>
      </c>
      <c r="B62" s="351" t="s">
        <v>1038</v>
      </c>
      <c r="C62" s="2" t="s">
        <v>585</v>
      </c>
      <c r="D62" s="354">
        <v>4453.2610000000004</v>
      </c>
      <c r="E62" s="354">
        <v>4453.2610000000004</v>
      </c>
      <c r="F62" s="2">
        <f>30.97428+71.62725</f>
        <v>102.60153</v>
      </c>
      <c r="G62" s="9" t="s">
        <v>70</v>
      </c>
    </row>
    <row r="63" spans="1:7" s="38" customFormat="1" ht="47.25">
      <c r="A63" s="352"/>
      <c r="B63" s="352"/>
      <c r="C63" s="2" t="s">
        <v>1039</v>
      </c>
      <c r="D63" s="355"/>
      <c r="E63" s="355"/>
      <c r="F63" s="2">
        <f>2124.77465+1250.98062+721.3236</f>
        <v>4097.0788699999994</v>
      </c>
      <c r="G63" s="9" t="s">
        <v>984</v>
      </c>
    </row>
    <row r="64" spans="1:7" s="38" customFormat="1" ht="63">
      <c r="A64" s="352"/>
      <c r="B64" s="352"/>
      <c r="C64" s="2" t="s">
        <v>1040</v>
      </c>
      <c r="D64" s="355"/>
      <c r="E64" s="355"/>
      <c r="F64" s="2">
        <f>26.56565+15.24839+45.0024</f>
        <v>86.81644</v>
      </c>
      <c r="G64" s="9" t="s">
        <v>137</v>
      </c>
    </row>
    <row r="65" spans="1:7" s="38" customFormat="1" ht="47.25">
      <c r="A65" s="353"/>
      <c r="B65" s="353"/>
      <c r="C65" s="2" t="s">
        <v>1041</v>
      </c>
      <c r="D65" s="356"/>
      <c r="E65" s="356"/>
      <c r="F65" s="2">
        <f>10.05961</f>
        <v>10.059609999999999</v>
      </c>
      <c r="G65" s="9" t="s">
        <v>70</v>
      </c>
    </row>
    <row r="66" spans="1:7" s="38" customFormat="1" ht="47.25">
      <c r="A66" s="351" t="s">
        <v>970</v>
      </c>
      <c r="B66" s="351" t="s">
        <v>971</v>
      </c>
      <c r="C66" s="2" t="s">
        <v>1042</v>
      </c>
      <c r="D66" s="354">
        <v>2654.21</v>
      </c>
      <c r="E66" s="354">
        <v>2654.21</v>
      </c>
      <c r="F66" s="2">
        <f>438.8814+71.70942+367.17199+1207.12804</f>
        <v>2084.8908499999998</v>
      </c>
      <c r="G66" s="9" t="s">
        <v>26</v>
      </c>
    </row>
    <row r="67" spans="1:7" s="38" customFormat="1" ht="47.25">
      <c r="A67" s="352"/>
      <c r="B67" s="352"/>
      <c r="C67" s="2" t="s">
        <v>1043</v>
      </c>
      <c r="D67" s="355"/>
      <c r="E67" s="355"/>
      <c r="F67" s="2">
        <f>60+49.6958</f>
        <v>109.69579999999999</v>
      </c>
      <c r="G67" s="9" t="s">
        <v>1044</v>
      </c>
    </row>
    <row r="68" spans="1:7" s="38" customFormat="1" ht="63">
      <c r="A68" s="353"/>
      <c r="B68" s="353"/>
      <c r="C68" s="2" t="s">
        <v>1045</v>
      </c>
      <c r="D68" s="356"/>
      <c r="E68" s="356"/>
      <c r="F68" s="2">
        <f>10.77324+7.46766+25.36998+3.83069</f>
        <v>47.441569999999999</v>
      </c>
      <c r="G68" s="9" t="s">
        <v>137</v>
      </c>
    </row>
    <row r="69" spans="1:7" s="38" customFormat="1" ht="47.25">
      <c r="A69" s="351" t="s">
        <v>562</v>
      </c>
      <c r="B69" s="351" t="s">
        <v>563</v>
      </c>
      <c r="C69" s="2" t="s">
        <v>1046</v>
      </c>
      <c r="D69" s="354">
        <v>1086.134</v>
      </c>
      <c r="E69" s="354">
        <v>1086.134</v>
      </c>
      <c r="F69" s="2">
        <f>31.2426</f>
        <v>31.242599999999999</v>
      </c>
      <c r="G69" s="9" t="s">
        <v>560</v>
      </c>
    </row>
    <row r="70" spans="1:7" s="38" customFormat="1" ht="47.25">
      <c r="A70" s="352"/>
      <c r="B70" s="352"/>
      <c r="C70" s="2" t="s">
        <v>1047</v>
      </c>
      <c r="D70" s="355"/>
      <c r="E70" s="355"/>
      <c r="F70" s="2">
        <f>475.7328+475.7328</f>
        <v>951.46559999999999</v>
      </c>
      <c r="G70" s="9" t="s">
        <v>26</v>
      </c>
    </row>
    <row r="71" spans="1:7" s="38" customFormat="1" ht="47.25">
      <c r="A71" s="352"/>
      <c r="B71" s="352"/>
      <c r="C71" s="2" t="s">
        <v>1048</v>
      </c>
      <c r="D71" s="355"/>
      <c r="E71" s="355"/>
      <c r="F71" s="2">
        <f>8.721</f>
        <v>8.7210000000000001</v>
      </c>
      <c r="G71" s="9" t="s">
        <v>560</v>
      </c>
    </row>
    <row r="72" spans="1:7" s="38" customFormat="1" ht="63">
      <c r="A72" s="353"/>
      <c r="B72" s="353"/>
      <c r="C72" s="2" t="s">
        <v>1049</v>
      </c>
      <c r="D72" s="356"/>
      <c r="E72" s="356"/>
      <c r="F72" s="2">
        <v>19.76276</v>
      </c>
      <c r="G72" s="9" t="s">
        <v>137</v>
      </c>
    </row>
    <row r="73" spans="1:7" s="38" customFormat="1" ht="31.5">
      <c r="A73" s="351" t="s">
        <v>1050</v>
      </c>
      <c r="B73" s="351" t="s">
        <v>1051</v>
      </c>
      <c r="C73" s="2" t="s">
        <v>1052</v>
      </c>
      <c r="D73" s="354">
        <v>424.96699999999998</v>
      </c>
      <c r="E73" s="354">
        <v>424.96699999999998</v>
      </c>
      <c r="F73" s="2">
        <f>174.775+3.02905+48.13884</f>
        <v>225.94289000000003</v>
      </c>
      <c r="G73" s="9" t="s">
        <v>29</v>
      </c>
    </row>
    <row r="74" spans="1:7" s="38" customFormat="1" ht="47.25">
      <c r="A74" s="352"/>
      <c r="B74" s="352"/>
      <c r="C74" s="2" t="s">
        <v>1053</v>
      </c>
      <c r="D74" s="355"/>
      <c r="E74" s="355"/>
      <c r="F74" s="2">
        <v>1.026</v>
      </c>
      <c r="G74" s="9" t="s">
        <v>560</v>
      </c>
    </row>
    <row r="75" spans="1:7" s="38" customFormat="1" ht="63">
      <c r="A75" s="353"/>
      <c r="B75" s="353"/>
      <c r="C75" s="2" t="s">
        <v>1054</v>
      </c>
      <c r="D75" s="356"/>
      <c r="E75" s="356"/>
      <c r="F75" s="2">
        <v>4.70939</v>
      </c>
      <c r="G75" s="9" t="s">
        <v>137</v>
      </c>
    </row>
    <row r="76" spans="1:7" s="38" customFormat="1" ht="47.25">
      <c r="A76" s="7" t="s">
        <v>571</v>
      </c>
      <c r="B76" s="7" t="s">
        <v>1012</v>
      </c>
      <c r="C76" s="11" t="s">
        <v>1055</v>
      </c>
      <c r="D76" s="12">
        <v>19598.39</v>
      </c>
      <c r="E76" s="12">
        <v>19598.39</v>
      </c>
      <c r="F76" s="2">
        <v>16383.436</v>
      </c>
      <c r="G76" s="9" t="s">
        <v>1056</v>
      </c>
    </row>
    <row r="77" spans="1:7" s="38" customFormat="1" ht="63">
      <c r="A77" s="7" t="s">
        <v>1057</v>
      </c>
      <c r="B77" s="7" t="s">
        <v>1058</v>
      </c>
      <c r="C77" s="11" t="s">
        <v>1059</v>
      </c>
      <c r="D77" s="12">
        <v>1982.912</v>
      </c>
      <c r="E77" s="12">
        <v>1982.912</v>
      </c>
      <c r="F77" s="2">
        <v>552.03499999999997</v>
      </c>
      <c r="G77" s="9" t="s">
        <v>1060</v>
      </c>
    </row>
    <row r="78" spans="1:7" s="38" customFormat="1" ht="63">
      <c r="A78" s="7" t="s">
        <v>1020</v>
      </c>
      <c r="B78" s="7" t="s">
        <v>1021</v>
      </c>
      <c r="C78" s="11" t="s">
        <v>1061</v>
      </c>
      <c r="D78" s="9">
        <v>1671.346</v>
      </c>
      <c r="E78" s="9">
        <v>1671.346</v>
      </c>
      <c r="F78" s="2">
        <v>875.37599999999998</v>
      </c>
      <c r="G78" s="9" t="s">
        <v>1062</v>
      </c>
    </row>
    <row r="79" spans="1:7" s="38" customFormat="1" ht="63">
      <c r="A79" s="7" t="s">
        <v>1063</v>
      </c>
      <c r="B79" s="7" t="s">
        <v>1064</v>
      </c>
      <c r="C79" s="11" t="s">
        <v>1065</v>
      </c>
      <c r="D79" s="12">
        <v>605.36400000000003</v>
      </c>
      <c r="E79" s="12">
        <v>605.36400000000003</v>
      </c>
      <c r="F79" s="2">
        <v>605.04499999999996</v>
      </c>
      <c r="G79" s="9" t="s">
        <v>1066</v>
      </c>
    </row>
    <row r="80" spans="1:7" s="38" customFormat="1" ht="94.5">
      <c r="A80" s="7" t="s">
        <v>1067</v>
      </c>
      <c r="B80" s="7" t="s">
        <v>968</v>
      </c>
      <c r="C80" s="11" t="s">
        <v>1068</v>
      </c>
      <c r="D80" s="9">
        <v>4015.143</v>
      </c>
      <c r="E80" s="9">
        <v>4015.143</v>
      </c>
      <c r="F80" s="2">
        <v>1117.221</v>
      </c>
      <c r="G80" s="9" t="s">
        <v>1062</v>
      </c>
    </row>
    <row r="81" spans="1:7" s="38" customFormat="1" ht="94.5">
      <c r="A81" s="7" t="s">
        <v>1067</v>
      </c>
      <c r="B81" s="7" t="s">
        <v>968</v>
      </c>
      <c r="C81" s="11" t="s">
        <v>1069</v>
      </c>
      <c r="D81" s="9">
        <v>825.38099999999997</v>
      </c>
      <c r="E81" s="9">
        <v>825.38099999999997</v>
      </c>
      <c r="F81" s="2">
        <v>742.03</v>
      </c>
      <c r="G81" s="9" t="s">
        <v>1070</v>
      </c>
    </row>
    <row r="82" spans="1:7" s="38" customFormat="1" ht="63">
      <c r="A82" s="351" t="s">
        <v>1071</v>
      </c>
      <c r="B82" s="351" t="s">
        <v>1072</v>
      </c>
      <c r="C82" s="11" t="s">
        <v>1073</v>
      </c>
      <c r="D82" s="354">
        <v>784.89599999999996</v>
      </c>
      <c r="E82" s="354">
        <v>784.89599999999996</v>
      </c>
      <c r="F82" s="2">
        <f>258.28-F83-F84</f>
        <v>213.33399999999997</v>
      </c>
      <c r="G82" s="9" t="s">
        <v>1074</v>
      </c>
    </row>
    <row r="83" spans="1:7" s="38" customFormat="1" ht="78.75">
      <c r="A83" s="352"/>
      <c r="B83" s="352"/>
      <c r="C83" s="11" t="s">
        <v>1075</v>
      </c>
      <c r="D83" s="355"/>
      <c r="E83" s="355"/>
      <c r="F83" s="2">
        <v>42.238</v>
      </c>
      <c r="G83" s="9" t="s">
        <v>312</v>
      </c>
    </row>
    <row r="84" spans="1:7" s="38" customFormat="1" ht="78.75">
      <c r="A84" s="353"/>
      <c r="B84" s="353"/>
      <c r="C84" s="11" t="s">
        <v>1076</v>
      </c>
      <c r="D84" s="356"/>
      <c r="E84" s="356"/>
      <c r="F84" s="2">
        <v>2.7080000000000002</v>
      </c>
      <c r="G84" s="9" t="s">
        <v>312</v>
      </c>
    </row>
    <row r="85" spans="1:7" s="38" customFormat="1" ht="78.75">
      <c r="A85" s="351" t="s">
        <v>1077</v>
      </c>
      <c r="B85" s="351" t="s">
        <v>1078</v>
      </c>
      <c r="C85" s="11" t="s">
        <v>1079</v>
      </c>
      <c r="D85" s="354">
        <v>999.98500000000001</v>
      </c>
      <c r="E85" s="354">
        <v>999.98500000000001</v>
      </c>
      <c r="F85" s="2">
        <f>313.834-F86-F87</f>
        <v>258</v>
      </c>
      <c r="G85" s="9" t="s">
        <v>1074</v>
      </c>
    </row>
    <row r="86" spans="1:7" s="38" customFormat="1" ht="78.75">
      <c r="A86" s="352"/>
      <c r="B86" s="352"/>
      <c r="C86" s="11" t="s">
        <v>1080</v>
      </c>
      <c r="D86" s="355"/>
      <c r="E86" s="355"/>
      <c r="F86" s="2">
        <v>3.5640000000000001</v>
      </c>
      <c r="G86" s="9" t="s">
        <v>312</v>
      </c>
    </row>
    <row r="87" spans="1:7" s="38" customFormat="1" ht="78.75">
      <c r="A87" s="353"/>
      <c r="B87" s="353"/>
      <c r="C87" s="11" t="s">
        <v>1081</v>
      </c>
      <c r="D87" s="356"/>
      <c r="E87" s="356"/>
      <c r="F87" s="2">
        <v>52.27</v>
      </c>
      <c r="G87" s="9" t="s">
        <v>312</v>
      </c>
    </row>
    <row r="88" spans="1:7" s="38" customFormat="1" ht="110.25">
      <c r="A88" s="351" t="s">
        <v>1082</v>
      </c>
      <c r="B88" s="351" t="s">
        <v>1083</v>
      </c>
      <c r="C88" s="11" t="s">
        <v>1084</v>
      </c>
      <c r="D88" s="354">
        <v>999.42</v>
      </c>
      <c r="E88" s="354">
        <v>999.42</v>
      </c>
      <c r="F88" s="2">
        <v>274.44819999999999</v>
      </c>
      <c r="G88" s="9" t="s">
        <v>1085</v>
      </c>
    </row>
    <row r="89" spans="1:7" s="38" customFormat="1" ht="126">
      <c r="A89" s="352"/>
      <c r="B89" s="352"/>
      <c r="C89" s="11" t="s">
        <v>1086</v>
      </c>
      <c r="D89" s="355"/>
      <c r="E89" s="355"/>
      <c r="F89" s="2">
        <v>1.5389999999999999</v>
      </c>
      <c r="G89" s="9" t="s">
        <v>1087</v>
      </c>
    </row>
    <row r="90" spans="1:7" s="38" customFormat="1" ht="126">
      <c r="A90" s="352"/>
      <c r="B90" s="352"/>
      <c r="C90" s="11" t="s">
        <v>1088</v>
      </c>
      <c r="D90" s="355"/>
      <c r="E90" s="355"/>
      <c r="F90" s="2">
        <v>4.9729999999999999</v>
      </c>
      <c r="G90" s="9" t="s">
        <v>137</v>
      </c>
    </row>
    <row r="91" spans="1:7" s="38" customFormat="1" ht="126">
      <c r="A91" s="352"/>
      <c r="B91" s="352"/>
      <c r="C91" s="11" t="s">
        <v>1089</v>
      </c>
      <c r="D91" s="355"/>
      <c r="E91" s="355"/>
      <c r="F91" s="2">
        <v>3.74</v>
      </c>
      <c r="G91" s="9" t="s">
        <v>1087</v>
      </c>
    </row>
    <row r="92" spans="1:7" s="38" customFormat="1" ht="94.5">
      <c r="A92" s="353"/>
      <c r="B92" s="353"/>
      <c r="C92" s="11" t="s">
        <v>1090</v>
      </c>
      <c r="D92" s="356"/>
      <c r="E92" s="356"/>
      <c r="F92" s="2">
        <f>49.394+3.486</f>
        <v>52.879999999999995</v>
      </c>
      <c r="G92" s="9" t="s">
        <v>1087</v>
      </c>
    </row>
    <row r="93" spans="1:7" s="38" customFormat="1" ht="31.5">
      <c r="A93" s="7" t="s">
        <v>1091</v>
      </c>
      <c r="B93" s="7" t="s">
        <v>564</v>
      </c>
      <c r="C93" s="2" t="s">
        <v>1092</v>
      </c>
      <c r="D93" s="9">
        <v>50.204999999999998</v>
      </c>
      <c r="E93" s="9">
        <v>50.204999999999998</v>
      </c>
      <c r="F93" s="2">
        <v>50.204999999999998</v>
      </c>
      <c r="G93" s="9" t="s">
        <v>70</v>
      </c>
    </row>
    <row r="94" spans="1:7" s="38" customFormat="1" ht="63">
      <c r="A94" s="7" t="s">
        <v>578</v>
      </c>
      <c r="B94" s="7" t="s">
        <v>1004</v>
      </c>
      <c r="C94" s="2" t="s">
        <v>1093</v>
      </c>
      <c r="D94" s="9">
        <v>45</v>
      </c>
      <c r="E94" s="9">
        <v>45</v>
      </c>
      <c r="F94" s="2">
        <v>44.908999999999999</v>
      </c>
      <c r="G94" s="9" t="s">
        <v>1094</v>
      </c>
    </row>
    <row r="95" spans="1:7" s="38" customFormat="1" ht="63">
      <c r="A95" s="7" t="s">
        <v>1095</v>
      </c>
      <c r="B95" s="7" t="s">
        <v>1096</v>
      </c>
      <c r="C95" s="2" t="s">
        <v>1097</v>
      </c>
      <c r="D95" s="9">
        <v>9.35</v>
      </c>
      <c r="E95" s="9">
        <v>9.35</v>
      </c>
      <c r="F95" s="2">
        <v>9.3360800000000008</v>
      </c>
      <c r="G95" s="9" t="s">
        <v>137</v>
      </c>
    </row>
    <row r="96" spans="1:7" s="38" customFormat="1" ht="63">
      <c r="A96" s="7" t="s">
        <v>1098</v>
      </c>
      <c r="B96" s="7" t="s">
        <v>1099</v>
      </c>
      <c r="C96" s="2" t="s">
        <v>1100</v>
      </c>
      <c r="D96" s="354">
        <v>281.55500000000001</v>
      </c>
      <c r="E96" s="354">
        <v>281.55500000000001</v>
      </c>
      <c r="F96" s="2">
        <v>3.0850200000000001</v>
      </c>
      <c r="G96" s="9" t="s">
        <v>980</v>
      </c>
    </row>
    <row r="97" spans="1:7" s="38" customFormat="1" ht="47.25">
      <c r="A97" s="7" t="s">
        <v>1098</v>
      </c>
      <c r="B97" s="7" t="s">
        <v>1099</v>
      </c>
      <c r="C97" s="2" t="s">
        <v>1101</v>
      </c>
      <c r="D97" s="355"/>
      <c r="E97" s="355"/>
      <c r="F97" s="2">
        <v>129.93199999999999</v>
      </c>
      <c r="G97" s="9" t="s">
        <v>566</v>
      </c>
    </row>
    <row r="98" spans="1:7" s="38" customFormat="1" ht="47.25">
      <c r="A98" s="7" t="s">
        <v>1098</v>
      </c>
      <c r="B98" s="7" t="s">
        <v>1099</v>
      </c>
      <c r="C98" s="2" t="s">
        <v>1100</v>
      </c>
      <c r="D98" s="356"/>
      <c r="E98" s="356"/>
      <c r="F98" s="2">
        <v>41.1</v>
      </c>
      <c r="G98" s="9" t="s">
        <v>1044</v>
      </c>
    </row>
    <row r="99" spans="1:7" s="38" customFormat="1" ht="47.25">
      <c r="A99" s="7" t="s">
        <v>1102</v>
      </c>
      <c r="B99" s="7" t="s">
        <v>1103</v>
      </c>
      <c r="C99" s="2" t="s">
        <v>1104</v>
      </c>
      <c r="D99" s="9">
        <v>79</v>
      </c>
      <c r="E99" s="9">
        <v>79</v>
      </c>
      <c r="F99" s="2">
        <v>79</v>
      </c>
      <c r="G99" s="9" t="s">
        <v>1094</v>
      </c>
    </row>
    <row r="100" spans="1:7" s="38" customFormat="1">
      <c r="A100" s="13"/>
      <c r="B100" s="14" t="s">
        <v>1</v>
      </c>
      <c r="C100" s="15" t="s">
        <v>6</v>
      </c>
      <c r="D100" s="16">
        <f>SUM(D20:D99)</f>
        <v>90296.551999999981</v>
      </c>
      <c r="E100" s="16">
        <f>SUM(E20:E99)</f>
        <v>90296.551999999981</v>
      </c>
      <c r="F100" s="16">
        <f>SUM(F20:F99)</f>
        <v>67748.188240000003</v>
      </c>
      <c r="G100" s="15" t="s">
        <v>6</v>
      </c>
    </row>
    <row r="101" spans="1:7" s="38" customFormat="1">
      <c r="A101" s="387" t="s">
        <v>11</v>
      </c>
      <c r="B101" s="388"/>
      <c r="C101" s="388"/>
      <c r="D101" s="388"/>
      <c r="E101" s="388"/>
      <c r="F101" s="388"/>
      <c r="G101" s="389"/>
    </row>
    <row r="102" spans="1:7" s="38" customFormat="1" ht="63">
      <c r="A102" s="1" t="s">
        <v>337</v>
      </c>
      <c r="B102" s="1" t="s">
        <v>338</v>
      </c>
      <c r="C102" s="1" t="s">
        <v>339</v>
      </c>
      <c r="D102" s="29">
        <v>93.1</v>
      </c>
      <c r="E102" s="29">
        <v>93.1</v>
      </c>
      <c r="F102" s="29">
        <v>93.081950000000006</v>
      </c>
      <c r="G102" s="1" t="s">
        <v>340</v>
      </c>
    </row>
    <row r="103" spans="1:7" s="38" customFormat="1" ht="78.75">
      <c r="A103" s="1" t="s">
        <v>737</v>
      </c>
      <c r="B103" s="1" t="s">
        <v>738</v>
      </c>
      <c r="C103" s="1" t="s">
        <v>339</v>
      </c>
      <c r="D103" s="29">
        <v>897.19</v>
      </c>
      <c r="E103" s="29">
        <v>897.19</v>
      </c>
      <c r="F103" s="29">
        <v>869.29247999999995</v>
      </c>
      <c r="G103" s="1" t="s">
        <v>739</v>
      </c>
    </row>
    <row r="104" spans="1:7" s="38" customFormat="1" ht="95.25" thickBot="1">
      <c r="A104" s="5" t="s">
        <v>31</v>
      </c>
      <c r="B104" s="33" t="s">
        <v>32</v>
      </c>
      <c r="C104" s="3" t="s">
        <v>33</v>
      </c>
      <c r="D104" s="3">
        <v>5258.5550000000003</v>
      </c>
      <c r="E104" s="3">
        <f>D104</f>
        <v>5258.5550000000003</v>
      </c>
      <c r="F104" s="3">
        <v>5197.9679599999999</v>
      </c>
      <c r="G104" s="3" t="s">
        <v>34</v>
      </c>
    </row>
    <row r="105" spans="1:7" s="38" customFormat="1" ht="78.75">
      <c r="A105" s="5" t="s">
        <v>35</v>
      </c>
      <c r="B105" s="33" t="s">
        <v>36</v>
      </c>
      <c r="C105" s="3" t="s">
        <v>341</v>
      </c>
      <c r="D105" s="69">
        <v>9296.0210000000006</v>
      </c>
      <c r="E105" s="3">
        <f>D105</f>
        <v>9296.0210000000006</v>
      </c>
      <c r="F105" s="3">
        <v>8244.2709599999998</v>
      </c>
      <c r="G105" s="3" t="s">
        <v>342</v>
      </c>
    </row>
    <row r="106" spans="1:7" s="38" customFormat="1" ht="63">
      <c r="A106" s="5" t="s">
        <v>37</v>
      </c>
      <c r="B106" s="4" t="s">
        <v>38</v>
      </c>
      <c r="C106" s="3" t="s">
        <v>33</v>
      </c>
      <c r="D106" s="3">
        <v>7767.0839999999998</v>
      </c>
      <c r="E106" s="3">
        <f>D106</f>
        <v>7767.0839999999998</v>
      </c>
      <c r="F106" s="3">
        <v>7753.4892600000003</v>
      </c>
      <c r="G106" s="23" t="s">
        <v>46</v>
      </c>
    </row>
    <row r="107" spans="1:7" s="38" customFormat="1" ht="78.75">
      <c r="A107" s="5" t="s">
        <v>740</v>
      </c>
      <c r="B107" s="70" t="s">
        <v>741</v>
      </c>
      <c r="C107" s="3" t="s">
        <v>33</v>
      </c>
      <c r="D107" s="3">
        <v>1519.3520000000001</v>
      </c>
      <c r="E107" s="3">
        <f>D107</f>
        <v>1519.3520000000001</v>
      </c>
      <c r="F107" s="3">
        <v>1278.92634</v>
      </c>
      <c r="G107" s="3" t="s">
        <v>742</v>
      </c>
    </row>
    <row r="108" spans="1:7" s="67" customFormat="1">
      <c r="A108" s="71"/>
      <c r="B108" s="62" t="s">
        <v>1</v>
      </c>
      <c r="C108" s="276" t="s">
        <v>6</v>
      </c>
      <c r="D108" s="278">
        <f>SUM(D102:D107)</f>
        <v>24831.302</v>
      </c>
      <c r="E108" s="278">
        <f t="shared" ref="E108:F108" si="0">SUM(E102:E107)</f>
        <v>24831.302</v>
      </c>
      <c r="F108" s="278">
        <f t="shared" si="0"/>
        <v>23437.02895</v>
      </c>
      <c r="G108" s="276" t="s">
        <v>6</v>
      </c>
    </row>
    <row r="109" spans="1:7" s="67" customFormat="1">
      <c r="A109" s="387" t="s">
        <v>193</v>
      </c>
      <c r="B109" s="388"/>
      <c r="C109" s="388"/>
      <c r="D109" s="388"/>
      <c r="E109" s="388"/>
      <c r="F109" s="388"/>
      <c r="G109" s="389"/>
    </row>
    <row r="110" spans="1:7" s="67" customFormat="1" ht="31.5">
      <c r="A110" s="72" t="s">
        <v>731</v>
      </c>
      <c r="B110" s="73" t="s">
        <v>732</v>
      </c>
      <c r="C110" s="168" t="s">
        <v>167</v>
      </c>
      <c r="D110" s="279">
        <v>59.664999999999999</v>
      </c>
      <c r="E110" s="279">
        <v>59.664999999999999</v>
      </c>
      <c r="F110" s="279">
        <v>59.664999999999999</v>
      </c>
      <c r="G110" s="187" t="s">
        <v>733</v>
      </c>
    </row>
    <row r="111" spans="1:7" s="67" customFormat="1">
      <c r="A111" s="72" t="s">
        <v>734</v>
      </c>
      <c r="B111" s="74" t="s">
        <v>735</v>
      </c>
      <c r="C111" s="168" t="s">
        <v>167</v>
      </c>
      <c r="D111" s="279">
        <v>21.934999999999999</v>
      </c>
      <c r="E111" s="279">
        <f>D111</f>
        <v>21.934999999999999</v>
      </c>
      <c r="F111" s="279">
        <v>21.853000000000002</v>
      </c>
      <c r="G111" s="187" t="s">
        <v>736</v>
      </c>
    </row>
    <row r="112" spans="1:7" s="67" customFormat="1">
      <c r="A112" s="71"/>
      <c r="B112" s="62" t="s">
        <v>1</v>
      </c>
      <c r="C112" s="276" t="s">
        <v>6</v>
      </c>
      <c r="D112" s="278">
        <f>SUM(D110:D111)</f>
        <v>81.599999999999994</v>
      </c>
      <c r="E112" s="278">
        <f t="shared" ref="E112:F112" si="1">SUM(E110:E111)</f>
        <v>81.599999999999994</v>
      </c>
      <c r="F112" s="278">
        <f t="shared" si="1"/>
        <v>81.518000000000001</v>
      </c>
      <c r="G112" s="276" t="s">
        <v>6</v>
      </c>
    </row>
    <row r="113" spans="1:7" s="67" customFormat="1">
      <c r="A113" s="387" t="s">
        <v>12</v>
      </c>
      <c r="B113" s="388"/>
      <c r="C113" s="388"/>
      <c r="D113" s="388"/>
      <c r="E113" s="388"/>
      <c r="F113" s="388"/>
      <c r="G113" s="389"/>
    </row>
    <row r="114" spans="1:7" s="67" customFormat="1" ht="126">
      <c r="A114" s="75" t="s">
        <v>39</v>
      </c>
      <c r="B114" s="49" t="s">
        <v>40</v>
      </c>
      <c r="C114" s="76" t="s">
        <v>41</v>
      </c>
      <c r="D114" s="85">
        <v>3171</v>
      </c>
      <c r="E114" s="51">
        <v>3171</v>
      </c>
      <c r="F114" s="280">
        <v>3109.2660000000001</v>
      </c>
      <c r="G114" s="77" t="s">
        <v>42</v>
      </c>
    </row>
    <row r="115" spans="1:7" s="67" customFormat="1" ht="63">
      <c r="A115" s="78" t="s">
        <v>43</v>
      </c>
      <c r="B115" s="79" t="s">
        <v>44</v>
      </c>
      <c r="C115" s="76" t="s">
        <v>45</v>
      </c>
      <c r="D115" s="85">
        <v>25054.62</v>
      </c>
      <c r="E115" s="51">
        <v>25054.62</v>
      </c>
      <c r="F115" s="51">
        <v>22429.993999999999</v>
      </c>
      <c r="G115" s="80" t="s">
        <v>46</v>
      </c>
    </row>
    <row r="116" spans="1:7" s="67" customFormat="1" ht="78.75">
      <c r="A116" s="37" t="s">
        <v>288</v>
      </c>
      <c r="B116" s="48" t="s">
        <v>289</v>
      </c>
      <c r="C116" s="52" t="s">
        <v>290</v>
      </c>
      <c r="D116" s="51">
        <v>1394.278</v>
      </c>
      <c r="E116" s="51">
        <v>1394.278</v>
      </c>
      <c r="F116" s="51">
        <v>619.74699999999996</v>
      </c>
      <c r="G116" s="281" t="s">
        <v>291</v>
      </c>
    </row>
    <row r="117" spans="1:7" s="67" customFormat="1" ht="63">
      <c r="A117" s="37" t="s">
        <v>292</v>
      </c>
      <c r="B117" s="81" t="s">
        <v>293</v>
      </c>
      <c r="C117" s="52" t="s">
        <v>30</v>
      </c>
      <c r="D117" s="51">
        <v>100</v>
      </c>
      <c r="E117" s="51">
        <v>100</v>
      </c>
      <c r="F117" s="51">
        <v>100</v>
      </c>
      <c r="G117" s="281"/>
    </row>
    <row r="118" spans="1:7" s="67" customFormat="1" ht="63">
      <c r="A118" s="78" t="s">
        <v>47</v>
      </c>
      <c r="B118" s="79" t="s">
        <v>48</v>
      </c>
      <c r="C118" s="64" t="s">
        <v>49</v>
      </c>
      <c r="D118" s="85">
        <v>3274.22</v>
      </c>
      <c r="E118" s="51">
        <v>3274.22</v>
      </c>
      <c r="F118" s="51">
        <v>618.14700000000005</v>
      </c>
      <c r="G118" s="80" t="s">
        <v>50</v>
      </c>
    </row>
    <row r="119" spans="1:7" s="67" customFormat="1" ht="63">
      <c r="A119" s="78" t="s">
        <v>294</v>
      </c>
      <c r="B119" s="82" t="s">
        <v>295</v>
      </c>
      <c r="C119" s="76" t="s">
        <v>296</v>
      </c>
      <c r="D119" s="85">
        <v>1100</v>
      </c>
      <c r="E119" s="51">
        <v>1100</v>
      </c>
      <c r="F119" s="51">
        <v>1002.908</v>
      </c>
      <c r="G119" s="80" t="s">
        <v>28</v>
      </c>
    </row>
    <row r="120" spans="1:7" s="67" customFormat="1" ht="78.75">
      <c r="A120" s="78" t="s">
        <v>297</v>
      </c>
      <c r="B120" s="79" t="s">
        <v>298</v>
      </c>
      <c r="C120" s="79" t="s">
        <v>30</v>
      </c>
      <c r="D120" s="85">
        <v>60</v>
      </c>
      <c r="E120" s="51">
        <v>60</v>
      </c>
      <c r="F120" s="51">
        <v>59.738999999999997</v>
      </c>
      <c r="G120" s="80"/>
    </row>
    <row r="121" spans="1:7" s="67" customFormat="1" ht="78.75">
      <c r="A121" s="56" t="s">
        <v>299</v>
      </c>
      <c r="B121" s="49" t="s">
        <v>300</v>
      </c>
      <c r="C121" s="50" t="s">
        <v>301</v>
      </c>
      <c r="D121" s="85">
        <v>554</v>
      </c>
      <c r="E121" s="85">
        <v>554</v>
      </c>
      <c r="F121" s="51">
        <v>532.827</v>
      </c>
      <c r="G121" s="83" t="s">
        <v>852</v>
      </c>
    </row>
    <row r="122" spans="1:7" s="67" customFormat="1" ht="63">
      <c r="A122" s="56" t="s">
        <v>299</v>
      </c>
      <c r="B122" s="49" t="s">
        <v>302</v>
      </c>
      <c r="C122" s="50" t="s">
        <v>303</v>
      </c>
      <c r="D122" s="85">
        <v>23.456</v>
      </c>
      <c r="E122" s="85">
        <v>23.456</v>
      </c>
      <c r="F122" s="51">
        <v>22.960889999999999</v>
      </c>
      <c r="G122" s="84" t="s">
        <v>304</v>
      </c>
    </row>
    <row r="123" spans="1:7" s="67" customFormat="1" ht="78.75">
      <c r="A123" s="56" t="s">
        <v>39</v>
      </c>
      <c r="B123" s="49" t="s">
        <v>51</v>
      </c>
      <c r="C123" s="79" t="s">
        <v>52</v>
      </c>
      <c r="D123" s="85">
        <v>0</v>
      </c>
      <c r="E123" s="85">
        <v>0</v>
      </c>
      <c r="F123" s="51">
        <v>0</v>
      </c>
      <c r="G123" s="86" t="s">
        <v>42</v>
      </c>
    </row>
    <row r="124" spans="1:7" s="67" customFormat="1" ht="78.75">
      <c r="A124" s="56" t="s">
        <v>39</v>
      </c>
      <c r="B124" s="49" t="s">
        <v>53</v>
      </c>
      <c r="C124" s="79" t="s">
        <v>52</v>
      </c>
      <c r="D124" s="85">
        <v>132.38800000000001</v>
      </c>
      <c r="E124" s="85">
        <v>132.38800000000001</v>
      </c>
      <c r="F124" s="51">
        <v>132.38800000000001</v>
      </c>
      <c r="G124" s="86" t="s">
        <v>42</v>
      </c>
    </row>
    <row r="125" spans="1:7" s="67" customFormat="1" ht="16.5" thickBot="1">
      <c r="A125" s="282"/>
      <c r="B125" s="283" t="s">
        <v>1</v>
      </c>
      <c r="C125" s="284" t="s">
        <v>6</v>
      </c>
      <c r="D125" s="285">
        <f>SUM(D114:D124)</f>
        <v>34863.961999999992</v>
      </c>
      <c r="E125" s="285">
        <f>SUM(E114:E124)</f>
        <v>34863.961999999992</v>
      </c>
      <c r="F125" s="285">
        <f>SUM(F114:F124)</f>
        <v>28627.976889999998</v>
      </c>
      <c r="G125" s="286" t="s">
        <v>6</v>
      </c>
    </row>
    <row r="126" spans="1:7" s="67" customFormat="1">
      <c r="A126" s="396" t="s">
        <v>13</v>
      </c>
      <c r="B126" s="397"/>
      <c r="C126" s="397"/>
      <c r="D126" s="397"/>
      <c r="E126" s="397"/>
      <c r="F126" s="397"/>
      <c r="G126" s="398"/>
    </row>
    <row r="127" spans="1:7" s="67" customFormat="1">
      <c r="A127" s="74" t="s">
        <v>586</v>
      </c>
      <c r="B127" s="87" t="s">
        <v>587</v>
      </c>
      <c r="C127" s="88" t="s">
        <v>588</v>
      </c>
      <c r="D127" s="287">
        <v>104.765</v>
      </c>
      <c r="E127" s="287">
        <v>104.765</v>
      </c>
      <c r="F127" s="287"/>
      <c r="G127" s="88"/>
    </row>
    <row r="128" spans="1:7" s="67" customFormat="1" ht="78.75">
      <c r="A128" s="74" t="s">
        <v>586</v>
      </c>
      <c r="B128" s="87" t="s">
        <v>589</v>
      </c>
      <c r="C128" s="88" t="s">
        <v>590</v>
      </c>
      <c r="D128" s="287">
        <v>1717.94</v>
      </c>
      <c r="E128" s="287">
        <v>1717.94</v>
      </c>
      <c r="F128" s="287">
        <v>1716.9559999999999</v>
      </c>
      <c r="G128" s="88" t="s">
        <v>743</v>
      </c>
    </row>
    <row r="129" spans="1:7" s="67" customFormat="1" ht="47.25">
      <c r="A129" s="74" t="s">
        <v>591</v>
      </c>
      <c r="B129" s="89" t="s">
        <v>592</v>
      </c>
      <c r="C129" s="74" t="s">
        <v>593</v>
      </c>
      <c r="D129" s="279">
        <v>528.97799999999995</v>
      </c>
      <c r="E129" s="279">
        <v>528.97799999999995</v>
      </c>
      <c r="F129" s="32">
        <f>462.725+66.253</f>
        <v>528.97800000000007</v>
      </c>
      <c r="G129" s="74" t="s">
        <v>744</v>
      </c>
    </row>
    <row r="130" spans="1:7" s="67" customFormat="1" ht="31.5">
      <c r="A130" s="21" t="s">
        <v>745</v>
      </c>
      <c r="B130" s="90" t="s">
        <v>746</v>
      </c>
      <c r="C130" s="21" t="s">
        <v>747</v>
      </c>
      <c r="D130" s="32">
        <v>300</v>
      </c>
      <c r="E130" s="32">
        <v>300</v>
      </c>
      <c r="F130" s="32">
        <v>288.09100000000001</v>
      </c>
      <c r="G130" s="21" t="s">
        <v>748</v>
      </c>
    </row>
    <row r="131" spans="1:7" s="67" customFormat="1" ht="63">
      <c r="A131" s="74" t="s">
        <v>594</v>
      </c>
      <c r="B131" s="88" t="s">
        <v>595</v>
      </c>
      <c r="C131" s="88" t="s">
        <v>596</v>
      </c>
      <c r="D131" s="287">
        <v>572.71400000000006</v>
      </c>
      <c r="E131" s="287">
        <v>572.71400000000006</v>
      </c>
      <c r="F131" s="287">
        <v>558.66700000000003</v>
      </c>
      <c r="G131" s="88" t="s">
        <v>749</v>
      </c>
    </row>
    <row r="132" spans="1:7" s="67" customFormat="1" ht="31.5">
      <c r="A132" s="74" t="s">
        <v>597</v>
      </c>
      <c r="B132" s="87" t="s">
        <v>598</v>
      </c>
      <c r="C132" s="88" t="s">
        <v>599</v>
      </c>
      <c r="D132" s="287">
        <v>178.36600000000001</v>
      </c>
      <c r="E132" s="287">
        <v>178.36600000000001</v>
      </c>
      <c r="F132" s="287">
        <v>177.774</v>
      </c>
      <c r="G132" s="88" t="s">
        <v>750</v>
      </c>
    </row>
    <row r="133" spans="1:7" s="67" customFormat="1" ht="94.5">
      <c r="A133" s="74" t="s">
        <v>54</v>
      </c>
      <c r="B133" s="88" t="s">
        <v>55</v>
      </c>
      <c r="C133" s="88" t="s">
        <v>56</v>
      </c>
      <c r="D133" s="287">
        <v>2656.567</v>
      </c>
      <c r="E133" s="287">
        <v>2656.567</v>
      </c>
      <c r="F133" s="287">
        <v>1691.5260000000001</v>
      </c>
      <c r="G133" s="88" t="s">
        <v>57</v>
      </c>
    </row>
    <row r="134" spans="1:7" s="67" customFormat="1" ht="63">
      <c r="A134" s="74" t="s">
        <v>54</v>
      </c>
      <c r="B134" s="88" t="s">
        <v>58</v>
      </c>
      <c r="C134" s="88" t="s">
        <v>59</v>
      </c>
      <c r="D134" s="287">
        <f>120+193.4346</f>
        <v>313.43459999999999</v>
      </c>
      <c r="E134" s="287">
        <f>120+193.4346</f>
        <v>313.43459999999999</v>
      </c>
      <c r="F134" s="287">
        <v>80.784999999999997</v>
      </c>
      <c r="G134" s="88" t="s">
        <v>751</v>
      </c>
    </row>
    <row r="135" spans="1:7" s="67" customFormat="1" ht="94.5">
      <c r="A135" s="74" t="s">
        <v>600</v>
      </c>
      <c r="B135" s="87" t="s">
        <v>601</v>
      </c>
      <c r="C135" s="88" t="s">
        <v>602</v>
      </c>
      <c r="D135" s="287">
        <v>615.69500000000005</v>
      </c>
      <c r="E135" s="287">
        <v>615.69500000000005</v>
      </c>
      <c r="F135" s="287">
        <v>615.69500000000005</v>
      </c>
      <c r="G135" s="88" t="s">
        <v>752</v>
      </c>
    </row>
    <row r="136" spans="1:7" s="67" customFormat="1" ht="94.5">
      <c r="A136" s="74" t="s">
        <v>54</v>
      </c>
      <c r="B136" s="91" t="s">
        <v>61</v>
      </c>
      <c r="C136" s="88" t="s">
        <v>603</v>
      </c>
      <c r="D136" s="287">
        <v>17452.933000000001</v>
      </c>
      <c r="E136" s="287">
        <v>17452.933000000001</v>
      </c>
      <c r="F136" s="279">
        <v>17395.22</v>
      </c>
      <c r="G136" s="88" t="s">
        <v>62</v>
      </c>
    </row>
    <row r="137" spans="1:7" s="67" customFormat="1" ht="63">
      <c r="A137" s="74" t="s">
        <v>604</v>
      </c>
      <c r="B137" s="27" t="s">
        <v>605</v>
      </c>
      <c r="C137" s="27" t="s">
        <v>606</v>
      </c>
      <c r="D137" s="92">
        <v>1059.212</v>
      </c>
      <c r="E137" s="92">
        <f>1059.212-30.893</f>
        <v>1028.319</v>
      </c>
      <c r="F137" s="34">
        <v>1028.319</v>
      </c>
      <c r="G137" s="27" t="s">
        <v>753</v>
      </c>
    </row>
    <row r="138" spans="1:7" s="67" customFormat="1" ht="63">
      <c r="A138" s="74" t="s">
        <v>754</v>
      </c>
      <c r="B138" s="93" t="s">
        <v>755</v>
      </c>
      <c r="C138" s="27" t="s">
        <v>756</v>
      </c>
      <c r="D138" s="92">
        <v>2000</v>
      </c>
      <c r="E138" s="92">
        <v>2000</v>
      </c>
      <c r="F138" s="34">
        <v>1063.884</v>
      </c>
      <c r="G138" s="27" t="s">
        <v>757</v>
      </c>
    </row>
    <row r="139" spans="1:7" s="67" customFormat="1" ht="63">
      <c r="A139" s="74" t="s">
        <v>54</v>
      </c>
      <c r="B139" s="91" t="s">
        <v>758</v>
      </c>
      <c r="C139" s="88" t="s">
        <v>60</v>
      </c>
      <c r="D139" s="287">
        <v>651.66399999999999</v>
      </c>
      <c r="E139" s="287">
        <v>651.66399999999999</v>
      </c>
      <c r="F139" s="279">
        <v>520.00400000000002</v>
      </c>
      <c r="G139" s="88" t="s">
        <v>759</v>
      </c>
    </row>
    <row r="140" spans="1:7" s="67" customFormat="1">
      <c r="A140" s="94" t="s">
        <v>63</v>
      </c>
      <c r="B140" s="63"/>
      <c r="C140" s="288"/>
      <c r="D140" s="319">
        <f>SUM(D127:D139)</f>
        <v>28152.268599999999</v>
      </c>
      <c r="E140" s="319">
        <f t="shared" ref="E140:F140" si="2">SUM(E127:E139)</f>
        <v>28121.375599999999</v>
      </c>
      <c r="F140" s="319">
        <f t="shared" si="2"/>
        <v>25665.899000000005</v>
      </c>
      <c r="G140" s="288"/>
    </row>
    <row r="141" spans="1:7" s="67" customFormat="1">
      <c r="A141" s="386" t="s">
        <v>14</v>
      </c>
      <c r="B141" s="386"/>
      <c r="C141" s="386"/>
      <c r="D141" s="386"/>
      <c r="E141" s="386"/>
      <c r="F141" s="386"/>
      <c r="G141" s="386"/>
    </row>
    <row r="142" spans="1:7" s="67" customFormat="1" ht="47.25">
      <c r="A142" s="95" t="s">
        <v>607</v>
      </c>
      <c r="B142" s="95" t="s">
        <v>607</v>
      </c>
      <c r="C142" s="95" t="s">
        <v>607</v>
      </c>
      <c r="D142" s="96"/>
      <c r="E142" s="88"/>
      <c r="F142" s="289">
        <v>381.06</v>
      </c>
      <c r="G142" s="58" t="s">
        <v>1482</v>
      </c>
    </row>
    <row r="143" spans="1:7" s="67" customFormat="1" ht="47.25">
      <c r="A143" s="95" t="s">
        <v>1483</v>
      </c>
      <c r="B143" s="95" t="s">
        <v>1483</v>
      </c>
      <c r="C143" s="95" t="s">
        <v>1483</v>
      </c>
      <c r="D143" s="96"/>
      <c r="E143" s="88"/>
      <c r="F143" s="290">
        <v>280.27100000000002</v>
      </c>
      <c r="G143" s="24" t="s">
        <v>1482</v>
      </c>
    </row>
    <row r="144" spans="1:7" s="67" customFormat="1" ht="47.25">
      <c r="A144" s="95" t="s">
        <v>1484</v>
      </c>
      <c r="B144" s="95" t="s">
        <v>1484</v>
      </c>
      <c r="C144" s="95" t="s">
        <v>1484</v>
      </c>
      <c r="D144" s="96"/>
      <c r="E144" s="88"/>
      <c r="F144" s="290">
        <v>116.006</v>
      </c>
      <c r="G144" s="58" t="s">
        <v>1482</v>
      </c>
    </row>
    <row r="145" spans="1:7" s="67" customFormat="1" ht="47.25">
      <c r="A145" s="95" t="s">
        <v>1485</v>
      </c>
      <c r="B145" s="95" t="s">
        <v>1485</v>
      </c>
      <c r="C145" s="95" t="s">
        <v>1485</v>
      </c>
      <c r="D145" s="96"/>
      <c r="E145" s="88"/>
      <c r="F145" s="290">
        <v>85.542000000000002</v>
      </c>
      <c r="G145" s="24" t="s">
        <v>1482</v>
      </c>
    </row>
    <row r="146" spans="1:7" s="67" customFormat="1" ht="47.25">
      <c r="A146" s="95" t="s">
        <v>1486</v>
      </c>
      <c r="B146" s="95" t="s">
        <v>1486</v>
      </c>
      <c r="C146" s="95" t="s">
        <v>1486</v>
      </c>
      <c r="D146" s="96"/>
      <c r="E146" s="88"/>
      <c r="F146" s="290">
        <v>164.94</v>
      </c>
      <c r="G146" s="58" t="s">
        <v>1482</v>
      </c>
    </row>
    <row r="147" spans="1:7" s="67" customFormat="1" ht="47.25">
      <c r="A147" s="95" t="s">
        <v>1487</v>
      </c>
      <c r="B147" s="95" t="s">
        <v>1487</v>
      </c>
      <c r="C147" s="95" t="s">
        <v>1487</v>
      </c>
      <c r="D147" s="96"/>
      <c r="E147" s="88"/>
      <c r="F147" s="290">
        <v>148.405</v>
      </c>
      <c r="G147" s="24" t="s">
        <v>1482</v>
      </c>
    </row>
    <row r="148" spans="1:7" s="67" customFormat="1" ht="47.25">
      <c r="A148" s="95" t="s">
        <v>1488</v>
      </c>
      <c r="B148" s="95" t="s">
        <v>1488</v>
      </c>
      <c r="C148" s="95" t="s">
        <v>1488</v>
      </c>
      <c r="D148" s="96"/>
      <c r="E148" s="88"/>
      <c r="F148" s="290">
        <v>282.46199999999999</v>
      </c>
      <c r="G148" s="58" t="s">
        <v>1482</v>
      </c>
    </row>
    <row r="149" spans="1:7" s="67" customFormat="1" ht="47.25">
      <c r="A149" s="95" t="s">
        <v>1489</v>
      </c>
      <c r="B149" s="95" t="s">
        <v>1489</v>
      </c>
      <c r="C149" s="95" t="s">
        <v>1489</v>
      </c>
      <c r="D149" s="96"/>
      <c r="E149" s="88"/>
      <c r="F149" s="290">
        <v>83.787000000000006</v>
      </c>
      <c r="G149" s="24" t="s">
        <v>1482</v>
      </c>
    </row>
    <row r="150" spans="1:7" s="67" customFormat="1" ht="47.25">
      <c r="A150" s="95" t="s">
        <v>1490</v>
      </c>
      <c r="B150" s="95" t="s">
        <v>1490</v>
      </c>
      <c r="C150" s="95" t="s">
        <v>1490</v>
      </c>
      <c r="D150" s="96"/>
      <c r="E150" s="88"/>
      <c r="F150" s="290">
        <v>50.189</v>
      </c>
      <c r="G150" s="58" t="s">
        <v>1482</v>
      </c>
    </row>
    <row r="151" spans="1:7" s="67" customFormat="1" ht="47.25">
      <c r="A151" s="95" t="s">
        <v>1491</v>
      </c>
      <c r="B151" s="95" t="s">
        <v>1491</v>
      </c>
      <c r="C151" s="95" t="s">
        <v>1491</v>
      </c>
      <c r="D151" s="96"/>
      <c r="E151" s="88"/>
      <c r="F151" s="290">
        <v>174.101</v>
      </c>
      <c r="G151" s="24" t="s">
        <v>1482</v>
      </c>
    </row>
    <row r="152" spans="1:7" s="67" customFormat="1" ht="47.25">
      <c r="A152" s="95" t="s">
        <v>1492</v>
      </c>
      <c r="B152" s="95" t="s">
        <v>1492</v>
      </c>
      <c r="C152" s="95" t="s">
        <v>1492</v>
      </c>
      <c r="D152" s="96"/>
      <c r="E152" s="88"/>
      <c r="F152" s="290">
        <v>176.82</v>
      </c>
      <c r="G152" s="58" t="s">
        <v>1482</v>
      </c>
    </row>
    <row r="153" spans="1:7" s="67" customFormat="1" ht="47.25">
      <c r="A153" s="95" t="s">
        <v>1493</v>
      </c>
      <c r="B153" s="95" t="s">
        <v>1493</v>
      </c>
      <c r="C153" s="95" t="s">
        <v>1493</v>
      </c>
      <c r="D153" s="96"/>
      <c r="E153" s="88"/>
      <c r="F153" s="290">
        <v>7.0730000000000004</v>
      </c>
      <c r="G153" s="24" t="s">
        <v>1482</v>
      </c>
    </row>
    <row r="154" spans="1:7" s="67" customFormat="1" ht="31.5">
      <c r="A154" s="97" t="s">
        <v>629</v>
      </c>
      <c r="B154" s="97" t="s">
        <v>629</v>
      </c>
      <c r="C154" s="97" t="s">
        <v>629</v>
      </c>
      <c r="D154" s="96"/>
      <c r="E154" s="88"/>
      <c r="F154" s="290">
        <v>39.219000000000001</v>
      </c>
      <c r="G154" s="24" t="s">
        <v>1494</v>
      </c>
    </row>
    <row r="155" spans="1:7" s="67" customFormat="1" ht="31.5">
      <c r="A155" s="97" t="s">
        <v>1495</v>
      </c>
      <c r="B155" s="97" t="s">
        <v>1495</v>
      </c>
      <c r="C155" s="97" t="s">
        <v>1495</v>
      </c>
      <c r="D155" s="96"/>
      <c r="E155" s="88"/>
      <c r="F155" s="290">
        <v>54.045999999999999</v>
      </c>
      <c r="G155" s="24" t="s">
        <v>1494</v>
      </c>
    </row>
    <row r="156" spans="1:7" s="67" customFormat="1" ht="31.5">
      <c r="A156" s="97" t="s">
        <v>630</v>
      </c>
      <c r="B156" s="97" t="s">
        <v>630</v>
      </c>
      <c r="C156" s="97" t="s">
        <v>630</v>
      </c>
      <c r="D156" s="96"/>
      <c r="E156" s="88"/>
      <c r="F156" s="290">
        <v>24.242999999999999</v>
      </c>
      <c r="G156" s="24" t="s">
        <v>1494</v>
      </c>
    </row>
    <row r="157" spans="1:7" s="67" customFormat="1" ht="31.5">
      <c r="A157" s="97" t="s">
        <v>631</v>
      </c>
      <c r="B157" s="97" t="s">
        <v>631</v>
      </c>
      <c r="C157" s="97" t="s">
        <v>631</v>
      </c>
      <c r="D157" s="96"/>
      <c r="E157" s="88"/>
      <c r="F157" s="290">
        <v>15.379</v>
      </c>
      <c r="G157" s="24" t="s">
        <v>1494</v>
      </c>
    </row>
    <row r="158" spans="1:7" s="67" customFormat="1" ht="31.5">
      <c r="A158" s="97" t="s">
        <v>1496</v>
      </c>
      <c r="B158" s="97" t="s">
        <v>1496</v>
      </c>
      <c r="C158" s="97" t="s">
        <v>1496</v>
      </c>
      <c r="D158" s="96"/>
      <c r="E158" s="88"/>
      <c r="F158" s="290">
        <v>507.37900000000002</v>
      </c>
      <c r="G158" s="24" t="s">
        <v>1494</v>
      </c>
    </row>
    <row r="159" spans="1:7" s="67" customFormat="1" ht="31.5">
      <c r="A159" s="97" t="s">
        <v>1497</v>
      </c>
      <c r="B159" s="97" t="s">
        <v>1497</v>
      </c>
      <c r="C159" s="97" t="s">
        <v>1497</v>
      </c>
      <c r="D159" s="96"/>
      <c r="E159" s="88"/>
      <c r="F159" s="290">
        <v>98.382999999999996</v>
      </c>
      <c r="G159" s="24" t="s">
        <v>1494</v>
      </c>
    </row>
    <row r="160" spans="1:7" s="67" customFormat="1" ht="31.5">
      <c r="A160" s="97" t="s">
        <v>1498</v>
      </c>
      <c r="B160" s="97" t="s">
        <v>1498</v>
      </c>
      <c r="C160" s="97" t="s">
        <v>1498</v>
      </c>
      <c r="D160" s="96"/>
      <c r="E160" s="88"/>
      <c r="F160" s="290">
        <v>17.780999999999999</v>
      </c>
      <c r="G160" s="24" t="s">
        <v>1494</v>
      </c>
    </row>
    <row r="161" spans="1:7" s="67" customFormat="1" ht="31.5">
      <c r="A161" s="97" t="s">
        <v>1499</v>
      </c>
      <c r="B161" s="97" t="s">
        <v>1499</v>
      </c>
      <c r="C161" s="97" t="s">
        <v>1499</v>
      </c>
      <c r="D161" s="96"/>
      <c r="E161" s="88"/>
      <c r="F161" s="290">
        <v>14.872</v>
      </c>
      <c r="G161" s="24" t="s">
        <v>1494</v>
      </c>
    </row>
    <row r="162" spans="1:7" s="67" customFormat="1" ht="31.5">
      <c r="A162" s="97" t="s">
        <v>1500</v>
      </c>
      <c r="B162" s="97" t="s">
        <v>1500</v>
      </c>
      <c r="C162" s="97" t="s">
        <v>1500</v>
      </c>
      <c r="D162" s="96"/>
      <c r="E162" s="88"/>
      <c r="F162" s="290">
        <v>66.091999999999999</v>
      </c>
      <c r="G162" s="24" t="s">
        <v>1494</v>
      </c>
    </row>
    <row r="163" spans="1:7" s="67" customFormat="1" ht="31.5">
      <c r="A163" s="97" t="s">
        <v>1501</v>
      </c>
      <c r="B163" s="97" t="s">
        <v>1501</v>
      </c>
      <c r="C163" s="97" t="s">
        <v>1501</v>
      </c>
      <c r="D163" s="96"/>
      <c r="E163" s="88"/>
      <c r="F163" s="290">
        <v>126.361</v>
      </c>
      <c r="G163" s="24" t="s">
        <v>1494</v>
      </c>
    </row>
    <row r="164" spans="1:7" s="67" customFormat="1" ht="31.5">
      <c r="A164" s="97" t="s">
        <v>1502</v>
      </c>
      <c r="B164" s="97" t="s">
        <v>1502</v>
      </c>
      <c r="C164" s="97" t="s">
        <v>1502</v>
      </c>
      <c r="D164" s="96"/>
      <c r="E164" s="88"/>
      <c r="F164" s="290">
        <v>40.786000000000001</v>
      </c>
      <c r="G164" s="24" t="s">
        <v>1494</v>
      </c>
    </row>
    <row r="165" spans="1:7" s="67" customFormat="1" ht="31.5">
      <c r="A165" s="97" t="s">
        <v>1503</v>
      </c>
      <c r="B165" s="97" t="s">
        <v>1503</v>
      </c>
      <c r="C165" s="97" t="s">
        <v>1503</v>
      </c>
      <c r="D165" s="96"/>
      <c r="E165" s="88"/>
      <c r="F165" s="290">
        <v>63.67</v>
      </c>
      <c r="G165" s="24" t="s">
        <v>1494</v>
      </c>
    </row>
    <row r="166" spans="1:7" s="67" customFormat="1" ht="31.5">
      <c r="A166" s="97" t="s">
        <v>1504</v>
      </c>
      <c r="B166" s="97" t="s">
        <v>1504</v>
      </c>
      <c r="C166" s="97" t="s">
        <v>1504</v>
      </c>
      <c r="D166" s="96"/>
      <c r="E166" s="88"/>
      <c r="F166" s="290">
        <v>37.619999999999997</v>
      </c>
      <c r="G166" s="24" t="s">
        <v>1494</v>
      </c>
    </row>
    <row r="167" spans="1:7" s="67" customFormat="1" ht="31.5">
      <c r="A167" s="97" t="s">
        <v>1505</v>
      </c>
      <c r="B167" s="97" t="s">
        <v>1505</v>
      </c>
      <c r="C167" s="97" t="s">
        <v>1505</v>
      </c>
      <c r="D167" s="96"/>
      <c r="E167" s="88"/>
      <c r="F167" s="290">
        <v>50.45</v>
      </c>
      <c r="G167" s="24" t="s">
        <v>1494</v>
      </c>
    </row>
    <row r="168" spans="1:7" s="67" customFormat="1" ht="31.5">
      <c r="A168" s="97" t="s">
        <v>1506</v>
      </c>
      <c r="B168" s="97" t="s">
        <v>1506</v>
      </c>
      <c r="C168" s="97" t="s">
        <v>1506</v>
      </c>
      <c r="D168" s="96"/>
      <c r="E168" s="88"/>
      <c r="F168" s="290">
        <v>233.893</v>
      </c>
      <c r="G168" s="24" t="s">
        <v>1494</v>
      </c>
    </row>
    <row r="169" spans="1:7" s="67" customFormat="1" ht="31.5">
      <c r="A169" s="97" t="s">
        <v>620</v>
      </c>
      <c r="B169" s="97" t="s">
        <v>620</v>
      </c>
      <c r="C169" s="97" t="s">
        <v>620</v>
      </c>
      <c r="D169" s="96"/>
      <c r="E169" s="88"/>
      <c r="F169" s="290">
        <v>1.026</v>
      </c>
      <c r="G169" s="24" t="s">
        <v>1507</v>
      </c>
    </row>
    <row r="170" spans="1:7" s="67" customFormat="1" ht="31.5">
      <c r="A170" s="98" t="s">
        <v>1508</v>
      </c>
      <c r="B170" s="98" t="s">
        <v>1508</v>
      </c>
      <c r="C170" s="98" t="s">
        <v>1508</v>
      </c>
      <c r="D170" s="96"/>
      <c r="E170" s="88"/>
      <c r="F170" s="290">
        <v>13.337999999999999</v>
      </c>
      <c r="G170" s="24" t="s">
        <v>1507</v>
      </c>
    </row>
    <row r="171" spans="1:7" s="67" customFormat="1" ht="31.5">
      <c r="A171" s="98" t="s">
        <v>1509</v>
      </c>
      <c r="B171" s="98" t="s">
        <v>1509</v>
      </c>
      <c r="C171" s="98" t="s">
        <v>1509</v>
      </c>
      <c r="D171" s="96"/>
      <c r="E171" s="88"/>
      <c r="F171" s="290">
        <v>5.6429999999999998</v>
      </c>
      <c r="G171" s="24" t="s">
        <v>1507</v>
      </c>
    </row>
    <row r="172" spans="1:7" s="67" customFormat="1" ht="31.5">
      <c r="A172" s="98" t="s">
        <v>1510</v>
      </c>
      <c r="B172" s="98" t="s">
        <v>1510</v>
      </c>
      <c r="C172" s="98" t="s">
        <v>1510</v>
      </c>
      <c r="D172" s="96"/>
      <c r="E172" s="88"/>
      <c r="F172" s="290">
        <v>1.026</v>
      </c>
      <c r="G172" s="24" t="s">
        <v>1507</v>
      </c>
    </row>
    <row r="173" spans="1:7" s="67" customFormat="1" ht="47.25">
      <c r="A173" s="98" t="s">
        <v>1511</v>
      </c>
      <c r="B173" s="98" t="s">
        <v>1511</v>
      </c>
      <c r="C173" s="98" t="s">
        <v>1511</v>
      </c>
      <c r="D173" s="96"/>
      <c r="E173" s="88"/>
      <c r="F173" s="290">
        <v>3.24</v>
      </c>
      <c r="G173" s="24" t="s">
        <v>1512</v>
      </c>
    </row>
    <row r="174" spans="1:7" s="67" customFormat="1" ht="47.25">
      <c r="A174" s="97" t="s">
        <v>1513</v>
      </c>
      <c r="B174" s="97" t="s">
        <v>1513</v>
      </c>
      <c r="C174" s="97" t="s">
        <v>1513</v>
      </c>
      <c r="D174" s="96"/>
      <c r="E174" s="88"/>
      <c r="F174" s="290">
        <v>200.15299999999999</v>
      </c>
      <c r="G174" s="24" t="s">
        <v>1514</v>
      </c>
    </row>
    <row r="175" spans="1:7" s="67" customFormat="1" ht="47.25">
      <c r="A175" s="97" t="s">
        <v>610</v>
      </c>
      <c r="B175" s="97" t="s">
        <v>610</v>
      </c>
      <c r="C175" s="97" t="s">
        <v>610</v>
      </c>
      <c r="D175" s="96"/>
      <c r="E175" s="88"/>
      <c r="F175" s="290">
        <v>389.21</v>
      </c>
      <c r="G175" s="24" t="s">
        <v>1514</v>
      </c>
    </row>
    <row r="176" spans="1:7" s="67" customFormat="1" ht="31.5">
      <c r="A176" s="97" t="s">
        <v>612</v>
      </c>
      <c r="B176" s="97" t="s">
        <v>612</v>
      </c>
      <c r="C176" s="97" t="s">
        <v>612</v>
      </c>
      <c r="D176" s="96"/>
      <c r="E176" s="88"/>
      <c r="F176" s="290">
        <v>17.978000000000002</v>
      </c>
      <c r="G176" s="99" t="s">
        <v>611</v>
      </c>
    </row>
    <row r="177" spans="1:7" s="67" customFormat="1" ht="31.5">
      <c r="A177" s="97" t="s">
        <v>1515</v>
      </c>
      <c r="B177" s="97" t="s">
        <v>1515</v>
      </c>
      <c r="C177" s="97" t="s">
        <v>1515</v>
      </c>
      <c r="D177" s="96"/>
      <c r="E177" s="88"/>
      <c r="F177" s="290">
        <v>15.2</v>
      </c>
      <c r="G177" s="99" t="s">
        <v>611</v>
      </c>
    </row>
    <row r="178" spans="1:7" s="67" customFormat="1" ht="31.5">
      <c r="A178" s="97" t="s">
        <v>1516</v>
      </c>
      <c r="B178" s="97" t="s">
        <v>1516</v>
      </c>
      <c r="C178" s="97" t="s">
        <v>1516</v>
      </c>
      <c r="D178" s="96"/>
      <c r="E178" s="88"/>
      <c r="F178" s="290">
        <v>24.276</v>
      </c>
      <c r="G178" s="99" t="s">
        <v>611</v>
      </c>
    </row>
    <row r="179" spans="1:7" s="67" customFormat="1" ht="31.5">
      <c r="A179" s="24" t="s">
        <v>1517</v>
      </c>
      <c r="B179" s="24" t="s">
        <v>1517</v>
      </c>
      <c r="C179" s="24" t="s">
        <v>1517</v>
      </c>
      <c r="D179" s="96"/>
      <c r="E179" s="88"/>
      <c r="F179" s="290">
        <v>1.4</v>
      </c>
      <c r="G179" s="99" t="s">
        <v>611</v>
      </c>
    </row>
    <row r="180" spans="1:7" s="67" customFormat="1" ht="31.5">
      <c r="A180" s="24" t="s">
        <v>1518</v>
      </c>
      <c r="B180" s="24" t="s">
        <v>1518</v>
      </c>
      <c r="C180" s="24" t="s">
        <v>1518</v>
      </c>
      <c r="D180" s="96"/>
      <c r="E180" s="88"/>
      <c r="F180" s="290">
        <v>1.077</v>
      </c>
      <c r="G180" s="99" t="s">
        <v>611</v>
      </c>
    </row>
    <row r="181" spans="1:7" s="67" customFormat="1" ht="47.25">
      <c r="A181" s="97" t="s">
        <v>1519</v>
      </c>
      <c r="B181" s="97" t="s">
        <v>1519</v>
      </c>
      <c r="C181" s="97" t="s">
        <v>1519</v>
      </c>
      <c r="D181" s="96"/>
      <c r="E181" s="88"/>
      <c r="F181" s="290">
        <v>38.6</v>
      </c>
      <c r="G181" s="24" t="s">
        <v>1520</v>
      </c>
    </row>
    <row r="182" spans="1:7" s="67" customFormat="1" ht="47.25">
      <c r="A182" s="97" t="s">
        <v>1521</v>
      </c>
      <c r="B182" s="97" t="s">
        <v>1521</v>
      </c>
      <c r="C182" s="97" t="s">
        <v>1521</v>
      </c>
      <c r="D182" s="96"/>
      <c r="E182" s="88"/>
      <c r="F182" s="290">
        <v>30.812999999999999</v>
      </c>
      <c r="G182" s="24" t="s">
        <v>1520</v>
      </c>
    </row>
    <row r="183" spans="1:7" s="67" customFormat="1" ht="47.25">
      <c r="A183" s="97" t="s">
        <v>1522</v>
      </c>
      <c r="B183" s="97" t="s">
        <v>1522</v>
      </c>
      <c r="C183" s="97" t="s">
        <v>1522</v>
      </c>
      <c r="D183" s="96"/>
      <c r="E183" s="88"/>
      <c r="F183" s="290">
        <v>36.536999999999999</v>
      </c>
      <c r="G183" s="24" t="s">
        <v>1520</v>
      </c>
    </row>
    <row r="184" spans="1:7" s="67" customFormat="1" ht="47.25">
      <c r="A184" s="97" t="s">
        <v>1523</v>
      </c>
      <c r="B184" s="97" t="s">
        <v>1523</v>
      </c>
      <c r="C184" s="97" t="s">
        <v>1523</v>
      </c>
      <c r="D184" s="96"/>
      <c r="E184" s="88"/>
      <c r="F184" s="290">
        <v>13.233000000000001</v>
      </c>
      <c r="G184" s="24" t="s">
        <v>1520</v>
      </c>
    </row>
    <row r="185" spans="1:7" s="67" customFormat="1" ht="31.5">
      <c r="A185" s="97" t="s">
        <v>626</v>
      </c>
      <c r="B185" s="97" t="s">
        <v>626</v>
      </c>
      <c r="C185" s="97" t="s">
        <v>626</v>
      </c>
      <c r="D185" s="96"/>
      <c r="E185" s="88"/>
      <c r="F185" s="290">
        <v>251.75200000000001</v>
      </c>
      <c r="G185" s="24" t="s">
        <v>1524</v>
      </c>
    </row>
    <row r="186" spans="1:7" s="67" customFormat="1" ht="31.5">
      <c r="A186" s="97" t="s">
        <v>1525</v>
      </c>
      <c r="B186" s="97" t="s">
        <v>1525</v>
      </c>
      <c r="C186" s="97" t="s">
        <v>1525</v>
      </c>
      <c r="D186" s="96"/>
      <c r="E186" s="88"/>
      <c r="F186" s="290">
        <v>708.46299999999997</v>
      </c>
      <c r="G186" s="24" t="s">
        <v>1526</v>
      </c>
    </row>
    <row r="187" spans="1:7" s="67" customFormat="1" ht="31.5">
      <c r="A187" s="97" t="s">
        <v>1527</v>
      </c>
      <c r="B187" s="97" t="s">
        <v>1527</v>
      </c>
      <c r="C187" s="97" t="s">
        <v>1527</v>
      </c>
      <c r="D187" s="96"/>
      <c r="E187" s="88"/>
      <c r="F187" s="290">
        <v>873.04700000000003</v>
      </c>
      <c r="G187" s="24" t="s">
        <v>1526</v>
      </c>
    </row>
    <row r="188" spans="1:7" s="67" customFormat="1" ht="31.5">
      <c r="A188" s="97" t="s">
        <v>1528</v>
      </c>
      <c r="B188" s="97" t="s">
        <v>1528</v>
      </c>
      <c r="C188" s="97" t="s">
        <v>1528</v>
      </c>
      <c r="D188" s="96"/>
      <c r="E188" s="88"/>
      <c r="F188" s="290">
        <v>361.64400000000001</v>
      </c>
      <c r="G188" s="24" t="s">
        <v>1526</v>
      </c>
    </row>
    <row r="189" spans="1:7" s="67" customFormat="1" ht="31.5">
      <c r="A189" s="97" t="s">
        <v>1529</v>
      </c>
      <c r="B189" s="97" t="s">
        <v>1529</v>
      </c>
      <c r="C189" s="97" t="s">
        <v>1529</v>
      </c>
      <c r="D189" s="96"/>
      <c r="E189" s="88"/>
      <c r="F189" s="290">
        <v>70</v>
      </c>
      <c r="G189" s="24" t="s">
        <v>1526</v>
      </c>
    </row>
    <row r="190" spans="1:7" s="67" customFormat="1" ht="47.25">
      <c r="A190" s="97" t="s">
        <v>1530</v>
      </c>
      <c r="B190" s="97" t="s">
        <v>1530</v>
      </c>
      <c r="C190" s="97" t="s">
        <v>1530</v>
      </c>
      <c r="D190" s="96"/>
      <c r="E190" s="88"/>
      <c r="F190" s="290">
        <v>92.811000000000007</v>
      </c>
      <c r="G190" s="24" t="s">
        <v>1531</v>
      </c>
    </row>
    <row r="191" spans="1:7" s="67" customFormat="1" ht="31.5">
      <c r="A191" s="97" t="s">
        <v>1532</v>
      </c>
      <c r="B191" s="97" t="s">
        <v>1532</v>
      </c>
      <c r="C191" s="97" t="s">
        <v>1532</v>
      </c>
      <c r="D191" s="96"/>
      <c r="E191" s="88"/>
      <c r="F191" s="290">
        <v>175.99600000000001</v>
      </c>
      <c r="G191" s="24" t="s">
        <v>1533</v>
      </c>
    </row>
    <row r="192" spans="1:7" s="67" customFormat="1" ht="31.5">
      <c r="A192" s="97" t="s">
        <v>1534</v>
      </c>
      <c r="B192" s="97" t="s">
        <v>1534</v>
      </c>
      <c r="C192" s="97" t="s">
        <v>1534</v>
      </c>
      <c r="D192" s="96"/>
      <c r="E192" s="88"/>
      <c r="F192" s="290">
        <v>336.39</v>
      </c>
      <c r="G192" s="24" t="s">
        <v>1533</v>
      </c>
    </row>
    <row r="193" spans="1:7" s="67" customFormat="1" ht="31.5">
      <c r="A193" s="97" t="s">
        <v>1535</v>
      </c>
      <c r="B193" s="97" t="s">
        <v>1535</v>
      </c>
      <c r="C193" s="97" t="s">
        <v>1535</v>
      </c>
      <c r="D193" s="96"/>
      <c r="E193" s="88"/>
      <c r="F193" s="290">
        <v>297.75099999999998</v>
      </c>
      <c r="G193" s="24" t="s">
        <v>1533</v>
      </c>
    </row>
    <row r="194" spans="1:7" s="67" customFormat="1" ht="31.5">
      <c r="A194" s="97" t="s">
        <v>1536</v>
      </c>
      <c r="B194" s="97" t="s">
        <v>1536</v>
      </c>
      <c r="C194" s="97" t="s">
        <v>1536</v>
      </c>
      <c r="D194" s="96"/>
      <c r="E194" s="88"/>
      <c r="F194" s="290">
        <v>405.755</v>
      </c>
      <c r="G194" s="24" t="s">
        <v>1533</v>
      </c>
    </row>
    <row r="195" spans="1:7" s="67" customFormat="1" ht="31.5">
      <c r="A195" s="97" t="s">
        <v>1537</v>
      </c>
      <c r="B195" s="97" t="s">
        <v>1537</v>
      </c>
      <c r="C195" s="97" t="s">
        <v>1537</v>
      </c>
      <c r="D195" s="96"/>
      <c r="E195" s="88"/>
      <c r="F195" s="290">
        <v>359.75700000000001</v>
      </c>
      <c r="G195" s="24" t="s">
        <v>1533</v>
      </c>
    </row>
    <row r="196" spans="1:7" s="67" customFormat="1" ht="31.5">
      <c r="A196" s="97" t="s">
        <v>1538</v>
      </c>
      <c r="B196" s="97" t="s">
        <v>1538</v>
      </c>
      <c r="C196" s="97" t="s">
        <v>1538</v>
      </c>
      <c r="D196" s="96"/>
      <c r="E196" s="88"/>
      <c r="F196" s="290">
        <v>348.72800000000001</v>
      </c>
      <c r="G196" s="24" t="s">
        <v>1533</v>
      </c>
    </row>
    <row r="197" spans="1:7" s="67" customFormat="1" ht="31.5">
      <c r="A197" s="97" t="s">
        <v>1539</v>
      </c>
      <c r="B197" s="97" t="s">
        <v>1539</v>
      </c>
      <c r="C197" s="97" t="s">
        <v>1539</v>
      </c>
      <c r="D197" s="96"/>
      <c r="E197" s="88"/>
      <c r="F197" s="290">
        <v>644.18799999999999</v>
      </c>
      <c r="G197" s="24" t="s">
        <v>1540</v>
      </c>
    </row>
    <row r="198" spans="1:7" s="67" customFormat="1" ht="31.5">
      <c r="A198" s="97" t="s">
        <v>1541</v>
      </c>
      <c r="B198" s="97" t="s">
        <v>1541</v>
      </c>
      <c r="C198" s="97" t="s">
        <v>1541</v>
      </c>
      <c r="D198" s="96"/>
      <c r="E198" s="88"/>
      <c r="F198" s="290">
        <v>325.38</v>
      </c>
      <c r="G198" s="24" t="s">
        <v>1542</v>
      </c>
    </row>
    <row r="199" spans="1:7" s="67" customFormat="1" ht="31.5">
      <c r="A199" s="97" t="s">
        <v>1543</v>
      </c>
      <c r="B199" s="97" t="s">
        <v>1543</v>
      </c>
      <c r="C199" s="97" t="s">
        <v>1543</v>
      </c>
      <c r="D199" s="96"/>
      <c r="E199" s="88"/>
      <c r="F199" s="290">
        <v>100.825</v>
      </c>
      <c r="G199" s="24" t="s">
        <v>1544</v>
      </c>
    </row>
    <row r="200" spans="1:7" s="67" customFormat="1" ht="31.5">
      <c r="A200" s="97" t="s">
        <v>1545</v>
      </c>
      <c r="B200" s="97" t="s">
        <v>1545</v>
      </c>
      <c r="C200" s="97" t="s">
        <v>1545</v>
      </c>
      <c r="D200" s="96"/>
      <c r="E200" s="88"/>
      <c r="F200" s="290">
        <v>84.998999999999995</v>
      </c>
      <c r="G200" s="24" t="s">
        <v>1544</v>
      </c>
    </row>
    <row r="201" spans="1:7" s="67" customFormat="1" ht="31.5">
      <c r="A201" s="97" t="s">
        <v>1546</v>
      </c>
      <c r="B201" s="97" t="s">
        <v>1546</v>
      </c>
      <c r="C201" s="97" t="s">
        <v>1546</v>
      </c>
      <c r="D201" s="96"/>
      <c r="E201" s="88"/>
      <c r="F201" s="290">
        <v>361.863</v>
      </c>
      <c r="G201" s="24" t="s">
        <v>1547</v>
      </c>
    </row>
    <row r="202" spans="1:7" s="67" customFormat="1" ht="47.25">
      <c r="A202" s="97" t="s">
        <v>614</v>
      </c>
      <c r="B202" s="97" t="s">
        <v>614</v>
      </c>
      <c r="C202" s="97" t="s">
        <v>614</v>
      </c>
      <c r="D202" s="96"/>
      <c r="E202" s="88"/>
      <c r="F202" s="290">
        <v>1115.171</v>
      </c>
      <c r="G202" s="24" t="s">
        <v>1548</v>
      </c>
    </row>
    <row r="203" spans="1:7" s="67" customFormat="1" ht="47.25">
      <c r="A203" s="97" t="s">
        <v>1549</v>
      </c>
      <c r="B203" s="97" t="s">
        <v>1549</v>
      </c>
      <c r="C203" s="97" t="s">
        <v>1549</v>
      </c>
      <c r="D203" s="96"/>
      <c r="E203" s="88"/>
      <c r="F203" s="290">
        <v>80.673000000000002</v>
      </c>
      <c r="G203" s="24" t="s">
        <v>1548</v>
      </c>
    </row>
    <row r="204" spans="1:7" s="67" customFormat="1" ht="47.25">
      <c r="A204" s="97" t="s">
        <v>1550</v>
      </c>
      <c r="B204" s="97" t="s">
        <v>1550</v>
      </c>
      <c r="C204" s="97" t="s">
        <v>1550</v>
      </c>
      <c r="D204" s="96"/>
      <c r="E204" s="88"/>
      <c r="F204" s="290">
        <v>577.90200000000004</v>
      </c>
      <c r="G204" s="24" t="s">
        <v>1548</v>
      </c>
    </row>
    <row r="205" spans="1:7" s="67" customFormat="1" ht="47.25">
      <c r="A205" s="97" t="s">
        <v>1551</v>
      </c>
      <c r="B205" s="97" t="s">
        <v>1551</v>
      </c>
      <c r="C205" s="97" t="s">
        <v>1551</v>
      </c>
      <c r="D205" s="96"/>
      <c r="E205" s="88"/>
      <c r="F205" s="290">
        <v>176.14599999999999</v>
      </c>
      <c r="G205" s="24" t="s">
        <v>1548</v>
      </c>
    </row>
    <row r="206" spans="1:7" s="67" customFormat="1" ht="47.25">
      <c r="A206" s="97" t="s">
        <v>1552</v>
      </c>
      <c r="B206" s="97" t="s">
        <v>1552</v>
      </c>
      <c r="C206" s="97" t="s">
        <v>1552</v>
      </c>
      <c r="D206" s="96"/>
      <c r="E206" s="88"/>
      <c r="F206" s="290">
        <v>692.03599999999994</v>
      </c>
      <c r="G206" s="24" t="s">
        <v>1548</v>
      </c>
    </row>
    <row r="207" spans="1:7" s="67" customFormat="1" ht="47.25">
      <c r="A207" s="97" t="s">
        <v>1553</v>
      </c>
      <c r="B207" s="97" t="s">
        <v>1553</v>
      </c>
      <c r="C207" s="97" t="s">
        <v>1553</v>
      </c>
      <c r="D207" s="96"/>
      <c r="E207" s="88"/>
      <c r="F207" s="290">
        <v>941.65800000000002</v>
      </c>
      <c r="G207" s="24" t="s">
        <v>1548</v>
      </c>
    </row>
    <row r="208" spans="1:7" s="67" customFormat="1" ht="47.25">
      <c r="A208" s="97" t="s">
        <v>1554</v>
      </c>
      <c r="B208" s="97" t="s">
        <v>1554</v>
      </c>
      <c r="C208" s="97" t="s">
        <v>1554</v>
      </c>
      <c r="D208" s="96"/>
      <c r="E208" s="88"/>
      <c r="F208" s="290">
        <v>901.79200000000003</v>
      </c>
      <c r="G208" s="24" t="s">
        <v>1548</v>
      </c>
    </row>
    <row r="209" spans="1:7" s="67" customFormat="1" ht="47.25">
      <c r="A209" s="97" t="s">
        <v>1555</v>
      </c>
      <c r="B209" s="97" t="s">
        <v>1555</v>
      </c>
      <c r="C209" s="97" t="s">
        <v>1555</v>
      </c>
      <c r="D209" s="96"/>
      <c r="E209" s="88"/>
      <c r="F209" s="290">
        <v>430.01900000000001</v>
      </c>
      <c r="G209" s="24" t="s">
        <v>1548</v>
      </c>
    </row>
    <row r="210" spans="1:7" s="67" customFormat="1" ht="47.25">
      <c r="A210" s="97" t="s">
        <v>1556</v>
      </c>
      <c r="B210" s="97" t="s">
        <v>1556</v>
      </c>
      <c r="C210" s="97" t="s">
        <v>1556</v>
      </c>
      <c r="D210" s="96"/>
      <c r="E210" s="88"/>
      <c r="F210" s="290">
        <v>80.539000000000001</v>
      </c>
      <c r="G210" s="24" t="s">
        <v>1548</v>
      </c>
    </row>
    <row r="211" spans="1:7" s="67" customFormat="1" ht="47.25">
      <c r="A211" s="97" t="s">
        <v>1557</v>
      </c>
      <c r="B211" s="97" t="s">
        <v>1557</v>
      </c>
      <c r="C211" s="97" t="s">
        <v>1557</v>
      </c>
      <c r="D211" s="96"/>
      <c r="E211" s="88"/>
      <c r="F211" s="290">
        <v>43.622</v>
      </c>
      <c r="G211" s="24" t="s">
        <v>1548</v>
      </c>
    </row>
    <row r="212" spans="1:7" s="67" customFormat="1" ht="47.25">
      <c r="A212" s="97" t="s">
        <v>1558</v>
      </c>
      <c r="B212" s="97" t="s">
        <v>1558</v>
      </c>
      <c r="C212" s="97" t="s">
        <v>1558</v>
      </c>
      <c r="D212" s="96"/>
      <c r="E212" s="88"/>
      <c r="F212" s="290">
        <v>37.584000000000003</v>
      </c>
      <c r="G212" s="24" t="s">
        <v>1548</v>
      </c>
    </row>
    <row r="213" spans="1:7" s="67" customFormat="1" ht="31.5">
      <c r="A213" s="97" t="s">
        <v>1559</v>
      </c>
      <c r="B213" s="97" t="s">
        <v>1559</v>
      </c>
      <c r="C213" s="97" t="s">
        <v>1559</v>
      </c>
      <c r="D213" s="96"/>
      <c r="E213" s="88"/>
      <c r="F213" s="290">
        <v>385.34300000000002</v>
      </c>
      <c r="G213" s="24" t="s">
        <v>1560</v>
      </c>
    </row>
    <row r="214" spans="1:7" s="67" customFormat="1" ht="31.5">
      <c r="A214" s="97" t="s">
        <v>1561</v>
      </c>
      <c r="B214" s="97" t="s">
        <v>1561</v>
      </c>
      <c r="C214" s="97" t="s">
        <v>1561</v>
      </c>
      <c r="D214" s="96"/>
      <c r="E214" s="88"/>
      <c r="F214" s="290">
        <v>208.238</v>
      </c>
      <c r="G214" s="24" t="s">
        <v>1562</v>
      </c>
    </row>
    <row r="215" spans="1:7" s="67" customFormat="1" ht="31.5">
      <c r="A215" s="97" t="s">
        <v>1563</v>
      </c>
      <c r="B215" s="97" t="s">
        <v>1563</v>
      </c>
      <c r="C215" s="97" t="s">
        <v>1563</v>
      </c>
      <c r="D215" s="96"/>
      <c r="E215" s="88"/>
      <c r="F215" s="290">
        <v>146.46600000000001</v>
      </c>
      <c r="G215" s="24" t="s">
        <v>1560</v>
      </c>
    </row>
    <row r="216" spans="1:7" s="67" customFormat="1" ht="31.5">
      <c r="A216" s="97" t="s">
        <v>1564</v>
      </c>
      <c r="B216" s="97" t="s">
        <v>1564</v>
      </c>
      <c r="C216" s="97" t="s">
        <v>1564</v>
      </c>
      <c r="D216" s="96"/>
      <c r="E216" s="88"/>
      <c r="F216" s="290">
        <v>70.994</v>
      </c>
      <c r="G216" s="24" t="s">
        <v>1562</v>
      </c>
    </row>
    <row r="217" spans="1:7" s="67" customFormat="1" ht="31.5">
      <c r="A217" s="97" t="s">
        <v>1565</v>
      </c>
      <c r="B217" s="97" t="s">
        <v>1565</v>
      </c>
      <c r="C217" s="97" t="s">
        <v>1565</v>
      </c>
      <c r="D217" s="96"/>
      <c r="E217" s="88"/>
      <c r="F217" s="290">
        <v>18.681999999999999</v>
      </c>
      <c r="G217" s="24" t="s">
        <v>1560</v>
      </c>
    </row>
    <row r="218" spans="1:7" s="67" customFormat="1" ht="31.5">
      <c r="A218" s="97" t="s">
        <v>1566</v>
      </c>
      <c r="B218" s="97" t="s">
        <v>1566</v>
      </c>
      <c r="C218" s="97" t="s">
        <v>1566</v>
      </c>
      <c r="D218" s="96"/>
      <c r="E218" s="88"/>
      <c r="F218" s="290">
        <v>753.52599999999995</v>
      </c>
      <c r="G218" s="24" t="s">
        <v>1562</v>
      </c>
    </row>
    <row r="219" spans="1:7" s="67" customFormat="1">
      <c r="A219" s="97" t="s">
        <v>628</v>
      </c>
      <c r="B219" s="97" t="s">
        <v>628</v>
      </c>
      <c r="C219" s="97" t="s">
        <v>628</v>
      </c>
      <c r="D219" s="96"/>
      <c r="E219" s="88"/>
      <c r="F219" s="290">
        <v>387.36799999999999</v>
      </c>
      <c r="G219" s="24" t="s">
        <v>1567</v>
      </c>
    </row>
    <row r="220" spans="1:7" s="67" customFormat="1" ht="31.5">
      <c r="A220" s="97" t="s">
        <v>627</v>
      </c>
      <c r="B220" s="97" t="s">
        <v>627</v>
      </c>
      <c r="C220" s="97" t="s">
        <v>627</v>
      </c>
      <c r="D220" s="96"/>
      <c r="E220" s="88"/>
      <c r="F220" s="290">
        <v>900</v>
      </c>
      <c r="G220" s="24" t="s">
        <v>1567</v>
      </c>
    </row>
    <row r="221" spans="1:7" s="67" customFormat="1" ht="31.5">
      <c r="A221" s="97" t="s">
        <v>1568</v>
      </c>
      <c r="B221" s="97" t="s">
        <v>1568</v>
      </c>
      <c r="C221" s="97" t="s">
        <v>1568</v>
      </c>
      <c r="D221" s="96"/>
      <c r="E221" s="88"/>
      <c r="F221" s="290">
        <v>2267.8580000000002</v>
      </c>
      <c r="G221" s="24" t="s">
        <v>1569</v>
      </c>
    </row>
    <row r="222" spans="1:7" s="67" customFormat="1" ht="31.5">
      <c r="A222" s="97" t="s">
        <v>1568</v>
      </c>
      <c r="B222" s="97" t="s">
        <v>1568</v>
      </c>
      <c r="C222" s="97" t="s">
        <v>1568</v>
      </c>
      <c r="D222" s="96"/>
      <c r="E222" s="88"/>
      <c r="F222" s="290">
        <v>200.71299999999999</v>
      </c>
      <c r="G222" s="24" t="s">
        <v>1569</v>
      </c>
    </row>
    <row r="223" spans="1:7" s="67" customFormat="1" ht="47.25">
      <c r="A223" s="97" t="s">
        <v>1570</v>
      </c>
      <c r="B223" s="97" t="s">
        <v>1570</v>
      </c>
      <c r="C223" s="97" t="s">
        <v>1570</v>
      </c>
      <c r="D223" s="96"/>
      <c r="E223" s="88"/>
      <c r="F223" s="290">
        <v>637.59100000000001</v>
      </c>
      <c r="G223" s="24" t="s">
        <v>1571</v>
      </c>
    </row>
    <row r="224" spans="1:7" s="67" customFormat="1" ht="31.5">
      <c r="A224" s="97" t="s">
        <v>1572</v>
      </c>
      <c r="B224" s="97" t="s">
        <v>1572</v>
      </c>
      <c r="C224" s="97" t="s">
        <v>1572</v>
      </c>
      <c r="D224" s="96"/>
      <c r="E224" s="88"/>
      <c r="F224" s="290">
        <v>342.76499999999999</v>
      </c>
      <c r="G224" s="22" t="s">
        <v>1573</v>
      </c>
    </row>
    <row r="225" spans="1:7" s="67" customFormat="1" ht="31.5">
      <c r="A225" s="97" t="s">
        <v>1574</v>
      </c>
      <c r="B225" s="97" t="s">
        <v>1574</v>
      </c>
      <c r="C225" s="97" t="s">
        <v>1574</v>
      </c>
      <c r="D225" s="96"/>
      <c r="E225" s="88"/>
      <c r="F225" s="290">
        <v>252.38200000000001</v>
      </c>
      <c r="G225" s="22" t="s">
        <v>1573</v>
      </c>
    </row>
    <row r="226" spans="1:7" s="67" customFormat="1" ht="31.5">
      <c r="A226" s="97" t="s">
        <v>1575</v>
      </c>
      <c r="B226" s="97" t="s">
        <v>1575</v>
      </c>
      <c r="C226" s="97" t="s">
        <v>1575</v>
      </c>
      <c r="D226" s="96"/>
      <c r="E226" s="88"/>
      <c r="F226" s="290">
        <v>380.28300000000002</v>
      </c>
      <c r="G226" s="22" t="s">
        <v>1573</v>
      </c>
    </row>
    <row r="227" spans="1:7" s="67" customFormat="1" ht="31.5">
      <c r="A227" s="97" t="s">
        <v>1576</v>
      </c>
      <c r="B227" s="97" t="s">
        <v>1576</v>
      </c>
      <c r="C227" s="97" t="s">
        <v>1576</v>
      </c>
      <c r="D227" s="96"/>
      <c r="E227" s="88"/>
      <c r="F227" s="290">
        <v>791.59299999999996</v>
      </c>
      <c r="G227" s="22" t="s">
        <v>1573</v>
      </c>
    </row>
    <row r="228" spans="1:7" s="67" customFormat="1" ht="31.5">
      <c r="A228" s="97" t="s">
        <v>1577</v>
      </c>
      <c r="B228" s="97" t="s">
        <v>1577</v>
      </c>
      <c r="C228" s="97" t="s">
        <v>1577</v>
      </c>
      <c r="D228" s="96"/>
      <c r="E228" s="88"/>
      <c r="F228" s="290">
        <v>679.30200000000002</v>
      </c>
      <c r="G228" s="22" t="s">
        <v>1573</v>
      </c>
    </row>
    <row r="229" spans="1:7" s="67" customFormat="1" ht="31.5">
      <c r="A229" s="24" t="s">
        <v>1578</v>
      </c>
      <c r="B229" s="24" t="s">
        <v>1578</v>
      </c>
      <c r="C229" s="24" t="s">
        <v>1578</v>
      </c>
      <c r="D229" s="96"/>
      <c r="E229" s="88"/>
      <c r="F229" s="290">
        <v>248.602</v>
      </c>
      <c r="G229" s="22" t="s">
        <v>1573</v>
      </c>
    </row>
    <row r="230" spans="1:7" s="67" customFormat="1" ht="31.5">
      <c r="A230" s="24" t="s">
        <v>1579</v>
      </c>
      <c r="B230" s="24" t="s">
        <v>1579</v>
      </c>
      <c r="C230" s="24" t="s">
        <v>1579</v>
      </c>
      <c r="D230" s="96"/>
      <c r="E230" s="88"/>
      <c r="F230" s="290">
        <v>240.10599999999999</v>
      </c>
      <c r="G230" s="22" t="s">
        <v>1573</v>
      </c>
    </row>
    <row r="231" spans="1:7" s="67" customFormat="1" ht="31.5">
      <c r="A231" s="97" t="s">
        <v>1580</v>
      </c>
      <c r="B231" s="97" t="s">
        <v>1580</v>
      </c>
      <c r="C231" s="97" t="s">
        <v>1580</v>
      </c>
      <c r="D231" s="96"/>
      <c r="E231" s="88"/>
      <c r="F231" s="290">
        <v>205.12200000000001</v>
      </c>
      <c r="G231" s="24" t="s">
        <v>1581</v>
      </c>
    </row>
    <row r="232" spans="1:7" s="67" customFormat="1" ht="31.5">
      <c r="A232" s="97" t="s">
        <v>1582</v>
      </c>
      <c r="B232" s="97" t="s">
        <v>1582</v>
      </c>
      <c r="C232" s="97" t="s">
        <v>1582</v>
      </c>
      <c r="D232" s="96"/>
      <c r="E232" s="88"/>
      <c r="F232" s="290">
        <v>508.21600000000001</v>
      </c>
      <c r="G232" s="24" t="s">
        <v>1581</v>
      </c>
    </row>
    <row r="233" spans="1:7" s="67" customFormat="1" ht="31.5">
      <c r="A233" s="97" t="s">
        <v>1583</v>
      </c>
      <c r="B233" s="97" t="s">
        <v>1583</v>
      </c>
      <c r="C233" s="97" t="s">
        <v>1583</v>
      </c>
      <c r="D233" s="96"/>
      <c r="E233" s="88"/>
      <c r="F233" s="290">
        <v>75.795000000000002</v>
      </c>
      <c r="G233" s="24" t="s">
        <v>1584</v>
      </c>
    </row>
    <row r="234" spans="1:7" s="67" customFormat="1" ht="31.5">
      <c r="A234" s="97" t="s">
        <v>1585</v>
      </c>
      <c r="B234" s="97" t="s">
        <v>1585</v>
      </c>
      <c r="C234" s="97" t="s">
        <v>1585</v>
      </c>
      <c r="D234" s="96"/>
      <c r="E234" s="88"/>
      <c r="F234" s="290">
        <v>87.536000000000001</v>
      </c>
      <c r="G234" s="24" t="s">
        <v>1586</v>
      </c>
    </row>
    <row r="235" spans="1:7" s="67" customFormat="1" ht="31.5">
      <c r="A235" s="97" t="s">
        <v>1587</v>
      </c>
      <c r="B235" s="97" t="s">
        <v>1587</v>
      </c>
      <c r="C235" s="97" t="s">
        <v>1587</v>
      </c>
      <c r="D235" s="96"/>
      <c r="E235" s="88"/>
      <c r="F235" s="290">
        <v>209.523</v>
      </c>
      <c r="G235" s="24" t="s">
        <v>1586</v>
      </c>
    </row>
    <row r="236" spans="1:7" s="67" customFormat="1" ht="31.5">
      <c r="A236" s="97" t="s">
        <v>1588</v>
      </c>
      <c r="B236" s="97" t="s">
        <v>1588</v>
      </c>
      <c r="C236" s="97" t="s">
        <v>1588</v>
      </c>
      <c r="D236" s="96"/>
      <c r="E236" s="88"/>
      <c r="F236" s="290">
        <v>503.81799999999998</v>
      </c>
      <c r="G236" s="24" t="s">
        <v>1589</v>
      </c>
    </row>
    <row r="237" spans="1:7" s="67" customFormat="1" ht="31.5">
      <c r="A237" s="97" t="s">
        <v>1590</v>
      </c>
      <c r="B237" s="97" t="s">
        <v>1590</v>
      </c>
      <c r="C237" s="97" t="s">
        <v>1590</v>
      </c>
      <c r="D237" s="96"/>
      <c r="E237" s="88"/>
      <c r="F237" s="290">
        <v>86.486999999999995</v>
      </c>
      <c r="G237" s="24" t="s">
        <v>1591</v>
      </c>
    </row>
    <row r="238" spans="1:7" s="67" customFormat="1" ht="31.5">
      <c r="A238" s="97" t="s">
        <v>1592</v>
      </c>
      <c r="B238" s="97" t="s">
        <v>1592</v>
      </c>
      <c r="C238" s="97" t="s">
        <v>1592</v>
      </c>
      <c r="D238" s="96"/>
      <c r="E238" s="88"/>
      <c r="F238" s="290">
        <v>607.55799999999999</v>
      </c>
      <c r="G238" s="24" t="s">
        <v>1593</v>
      </c>
    </row>
    <row r="239" spans="1:7" s="67" customFormat="1" ht="31.5">
      <c r="A239" s="97" t="s">
        <v>1594</v>
      </c>
      <c r="B239" s="97" t="s">
        <v>1594</v>
      </c>
      <c r="C239" s="97" t="s">
        <v>1594</v>
      </c>
      <c r="D239" s="96"/>
      <c r="E239" s="88"/>
      <c r="F239" s="290">
        <v>598.17100000000005</v>
      </c>
      <c r="G239" s="24" t="s">
        <v>1593</v>
      </c>
    </row>
    <row r="240" spans="1:7" s="67" customFormat="1" ht="31.5">
      <c r="A240" s="97" t="s">
        <v>1595</v>
      </c>
      <c r="B240" s="97" t="s">
        <v>1595</v>
      </c>
      <c r="C240" s="97" t="s">
        <v>1595</v>
      </c>
      <c r="D240" s="96"/>
      <c r="E240" s="88"/>
      <c r="F240" s="290">
        <v>3.0779999999999998</v>
      </c>
      <c r="G240" s="24" t="s">
        <v>1596</v>
      </c>
    </row>
    <row r="241" spans="1:7" s="67" customFormat="1" ht="47.25">
      <c r="A241" s="97" t="s">
        <v>617</v>
      </c>
      <c r="B241" s="97" t="s">
        <v>617</v>
      </c>
      <c r="C241" s="97" t="s">
        <v>617</v>
      </c>
      <c r="D241" s="96"/>
      <c r="E241" s="88"/>
      <c r="F241" s="290">
        <v>23.736000000000001</v>
      </c>
      <c r="G241" s="24" t="s">
        <v>1597</v>
      </c>
    </row>
    <row r="242" spans="1:7" s="67" customFormat="1" ht="47.25">
      <c r="A242" s="97" t="s">
        <v>1598</v>
      </c>
      <c r="B242" s="97" t="s">
        <v>1598</v>
      </c>
      <c r="C242" s="97" t="s">
        <v>1598</v>
      </c>
      <c r="D242" s="96"/>
      <c r="E242" s="88"/>
      <c r="F242" s="290">
        <v>2.052</v>
      </c>
      <c r="G242" s="24" t="s">
        <v>1597</v>
      </c>
    </row>
    <row r="243" spans="1:7" s="67" customFormat="1" ht="31.5">
      <c r="A243" s="97" t="s">
        <v>621</v>
      </c>
      <c r="B243" s="97" t="s">
        <v>621</v>
      </c>
      <c r="C243" s="97" t="s">
        <v>621</v>
      </c>
      <c r="D243" s="96"/>
      <c r="E243" s="88"/>
      <c r="F243" s="290">
        <v>15.143000000000001</v>
      </c>
      <c r="G243" s="24" t="s">
        <v>1507</v>
      </c>
    </row>
    <row r="244" spans="1:7" s="67" customFormat="1" ht="31.5">
      <c r="A244" s="97" t="s">
        <v>622</v>
      </c>
      <c r="B244" s="97" t="s">
        <v>622</v>
      </c>
      <c r="C244" s="97" t="s">
        <v>622</v>
      </c>
      <c r="D244" s="96"/>
      <c r="E244" s="88"/>
      <c r="F244" s="290">
        <v>20.835999999999999</v>
      </c>
      <c r="G244" s="24" t="s">
        <v>1507</v>
      </c>
    </row>
    <row r="245" spans="1:7" s="67" customFormat="1" ht="31.5">
      <c r="A245" s="97" t="s">
        <v>623</v>
      </c>
      <c r="B245" s="97" t="s">
        <v>623</v>
      </c>
      <c r="C245" s="97" t="s">
        <v>623</v>
      </c>
      <c r="D245" s="96"/>
      <c r="E245" s="88"/>
      <c r="F245" s="290">
        <v>15.143000000000001</v>
      </c>
      <c r="G245" s="24" t="s">
        <v>1507</v>
      </c>
    </row>
    <row r="246" spans="1:7" s="67" customFormat="1" ht="31.5">
      <c r="A246" s="97" t="s">
        <v>1599</v>
      </c>
      <c r="B246" s="97" t="s">
        <v>1599</v>
      </c>
      <c r="C246" s="97" t="s">
        <v>1599</v>
      </c>
      <c r="D246" s="96"/>
      <c r="E246" s="88"/>
      <c r="F246" s="290">
        <v>0.51300000000000001</v>
      </c>
      <c r="G246" s="24" t="s">
        <v>1507</v>
      </c>
    </row>
    <row r="247" spans="1:7" s="67" customFormat="1" ht="31.5">
      <c r="A247" s="97" t="s">
        <v>1600</v>
      </c>
      <c r="B247" s="97" t="s">
        <v>1600</v>
      </c>
      <c r="C247" s="97" t="s">
        <v>1600</v>
      </c>
      <c r="D247" s="96"/>
      <c r="E247" s="88"/>
      <c r="F247" s="290">
        <v>0.51300000000000001</v>
      </c>
      <c r="G247" s="24" t="s">
        <v>1507</v>
      </c>
    </row>
    <row r="248" spans="1:7" s="67" customFormat="1" ht="31.5">
      <c r="A248" s="97" t="s">
        <v>1601</v>
      </c>
      <c r="B248" s="97" t="s">
        <v>1601</v>
      </c>
      <c r="C248" s="97" t="s">
        <v>1601</v>
      </c>
      <c r="D248" s="96"/>
      <c r="E248" s="88"/>
      <c r="F248" s="290">
        <v>16.593</v>
      </c>
      <c r="G248" s="24" t="s">
        <v>1507</v>
      </c>
    </row>
    <row r="249" spans="1:7" s="67" customFormat="1" ht="31.5">
      <c r="A249" s="97" t="s">
        <v>1602</v>
      </c>
      <c r="B249" s="97" t="s">
        <v>1602</v>
      </c>
      <c r="C249" s="97" t="s">
        <v>1602</v>
      </c>
      <c r="D249" s="96"/>
      <c r="E249" s="88"/>
      <c r="F249" s="290">
        <v>16.593</v>
      </c>
      <c r="G249" s="24" t="s">
        <v>1507</v>
      </c>
    </row>
    <row r="250" spans="1:7" s="67" customFormat="1" ht="31.5">
      <c r="A250" s="97" t="s">
        <v>1603</v>
      </c>
      <c r="B250" s="97" t="s">
        <v>1603</v>
      </c>
      <c r="C250" s="97" t="s">
        <v>1603</v>
      </c>
      <c r="D250" s="96"/>
      <c r="E250" s="88"/>
      <c r="F250" s="290">
        <v>1.5389999999999999</v>
      </c>
      <c r="G250" s="24" t="s">
        <v>1507</v>
      </c>
    </row>
    <row r="251" spans="1:7" s="67" customFormat="1" ht="47.25">
      <c r="A251" s="97" t="s">
        <v>624</v>
      </c>
      <c r="B251" s="97" t="s">
        <v>624</v>
      </c>
      <c r="C251" s="97" t="s">
        <v>624</v>
      </c>
      <c r="D251" s="96"/>
      <c r="E251" s="88"/>
      <c r="F251" s="290">
        <v>17.138000000000002</v>
      </c>
      <c r="G251" s="24" t="s">
        <v>1604</v>
      </c>
    </row>
    <row r="252" spans="1:7" s="67" customFormat="1" ht="47.25">
      <c r="A252" s="97" t="s">
        <v>1605</v>
      </c>
      <c r="B252" s="97" t="s">
        <v>1605</v>
      </c>
      <c r="C252" s="97" t="s">
        <v>1605</v>
      </c>
      <c r="D252" s="96"/>
      <c r="E252" s="88"/>
      <c r="F252" s="290">
        <v>1.5389999999999999</v>
      </c>
      <c r="G252" s="24" t="s">
        <v>1604</v>
      </c>
    </row>
    <row r="253" spans="1:7" s="67" customFormat="1" ht="47.25">
      <c r="A253" s="97" t="s">
        <v>1606</v>
      </c>
      <c r="B253" s="97" t="s">
        <v>1606</v>
      </c>
      <c r="C253" s="97" t="s">
        <v>1606</v>
      </c>
      <c r="D253" s="96"/>
      <c r="E253" s="88"/>
      <c r="F253" s="290">
        <v>1.5389999999999999</v>
      </c>
      <c r="G253" s="24" t="s">
        <v>1604</v>
      </c>
    </row>
    <row r="254" spans="1:7" s="67" customFormat="1" ht="47.25">
      <c r="A254" s="97" t="s">
        <v>1607</v>
      </c>
      <c r="B254" s="97" t="s">
        <v>1607</v>
      </c>
      <c r="C254" s="97" t="s">
        <v>1607</v>
      </c>
      <c r="D254" s="96"/>
      <c r="E254" s="88"/>
      <c r="F254" s="290">
        <v>1.282</v>
      </c>
      <c r="G254" s="24" t="s">
        <v>1604</v>
      </c>
    </row>
    <row r="255" spans="1:7" s="67" customFormat="1" ht="47.25">
      <c r="A255" s="97" t="s">
        <v>1608</v>
      </c>
      <c r="B255" s="97" t="s">
        <v>1608</v>
      </c>
      <c r="C255" s="97" t="s">
        <v>1608</v>
      </c>
      <c r="D255" s="96"/>
      <c r="E255" s="88"/>
      <c r="F255" s="290">
        <v>2.5649999999999999</v>
      </c>
      <c r="G255" s="24" t="s">
        <v>1604</v>
      </c>
    </row>
    <row r="256" spans="1:7" s="67" customFormat="1" ht="47.25">
      <c r="A256" s="97" t="s">
        <v>1609</v>
      </c>
      <c r="B256" s="97" t="s">
        <v>1609</v>
      </c>
      <c r="C256" s="97" t="s">
        <v>1609</v>
      </c>
      <c r="D256" s="96"/>
      <c r="E256" s="88"/>
      <c r="F256" s="290">
        <v>68.763999999999996</v>
      </c>
      <c r="G256" s="24" t="s">
        <v>1604</v>
      </c>
    </row>
    <row r="257" spans="1:7" s="67" customFormat="1" ht="31.5">
      <c r="A257" s="24" t="s">
        <v>1610</v>
      </c>
      <c r="B257" s="24" t="s">
        <v>1610</v>
      </c>
      <c r="C257" s="24" t="s">
        <v>1610</v>
      </c>
      <c r="D257" s="96"/>
      <c r="E257" s="88"/>
      <c r="F257" s="290">
        <v>2.052</v>
      </c>
      <c r="G257" s="100" t="s">
        <v>1611</v>
      </c>
    </row>
    <row r="258" spans="1:7" s="67" customFormat="1" ht="31.5">
      <c r="A258" s="24" t="s">
        <v>1612</v>
      </c>
      <c r="B258" s="24" t="s">
        <v>1612</v>
      </c>
      <c r="C258" s="24" t="s">
        <v>1612</v>
      </c>
      <c r="D258" s="96"/>
      <c r="E258" s="88"/>
      <c r="F258" s="290">
        <v>2.5649999999999999</v>
      </c>
      <c r="G258" s="100" t="s">
        <v>1611</v>
      </c>
    </row>
    <row r="259" spans="1:7" s="67" customFormat="1" ht="31.5">
      <c r="A259" s="24" t="s">
        <v>1613</v>
      </c>
      <c r="B259" s="24" t="s">
        <v>1613</v>
      </c>
      <c r="C259" s="24" t="s">
        <v>1613</v>
      </c>
      <c r="D259" s="96"/>
      <c r="E259" s="88"/>
      <c r="F259" s="290">
        <v>1.5389999999999999</v>
      </c>
      <c r="G259" s="100" t="s">
        <v>1611</v>
      </c>
    </row>
    <row r="260" spans="1:7" s="67" customFormat="1" ht="31.5">
      <c r="A260" s="24" t="s">
        <v>1614</v>
      </c>
      <c r="B260" s="24" t="s">
        <v>1614</v>
      </c>
      <c r="C260" s="24" t="s">
        <v>1614</v>
      </c>
      <c r="D260" s="96"/>
      <c r="E260" s="88"/>
      <c r="F260" s="290">
        <v>1.5389999999999999</v>
      </c>
      <c r="G260" s="100" t="s">
        <v>1611</v>
      </c>
    </row>
    <row r="261" spans="1:7" s="67" customFormat="1" ht="31.5">
      <c r="A261" s="24" t="s">
        <v>1615</v>
      </c>
      <c r="B261" s="24" t="s">
        <v>1615</v>
      </c>
      <c r="C261" s="24" t="s">
        <v>1615</v>
      </c>
      <c r="D261" s="96"/>
      <c r="E261" s="88"/>
      <c r="F261" s="290">
        <v>4.1040000000000001</v>
      </c>
      <c r="G261" s="100" t="s">
        <v>1616</v>
      </c>
    </row>
    <row r="262" spans="1:7" s="67" customFormat="1" ht="31.5">
      <c r="A262" s="24" t="s">
        <v>1617</v>
      </c>
      <c r="B262" s="24" t="s">
        <v>1617</v>
      </c>
      <c r="C262" s="24" t="s">
        <v>1617</v>
      </c>
      <c r="D262" s="96"/>
      <c r="E262" s="88"/>
      <c r="F262" s="290">
        <v>1.5389999999999999</v>
      </c>
      <c r="G262" s="100" t="s">
        <v>1618</v>
      </c>
    </row>
    <row r="263" spans="1:7" s="67" customFormat="1" ht="31.5">
      <c r="A263" s="24" t="s">
        <v>1619</v>
      </c>
      <c r="B263" s="24" t="s">
        <v>1619</v>
      </c>
      <c r="C263" s="24" t="s">
        <v>1619</v>
      </c>
      <c r="D263" s="96"/>
      <c r="E263" s="88"/>
      <c r="F263" s="290">
        <v>34.465000000000003</v>
      </c>
      <c r="G263" s="100" t="s">
        <v>1618</v>
      </c>
    </row>
    <row r="264" spans="1:7" s="67" customFormat="1" ht="31.5">
      <c r="A264" s="24" t="s">
        <v>1620</v>
      </c>
      <c r="B264" s="24" t="s">
        <v>1620</v>
      </c>
      <c r="C264" s="24" t="s">
        <v>1620</v>
      </c>
      <c r="D264" s="96"/>
      <c r="E264" s="88"/>
      <c r="F264" s="290">
        <v>1.5389999999999999</v>
      </c>
      <c r="G264" s="100" t="s">
        <v>1618</v>
      </c>
    </row>
    <row r="265" spans="1:7" s="67" customFormat="1" ht="31.5">
      <c r="A265" s="24" t="s">
        <v>1621</v>
      </c>
      <c r="B265" s="24" t="s">
        <v>1621</v>
      </c>
      <c r="C265" s="24" t="s">
        <v>1621</v>
      </c>
      <c r="D265" s="96"/>
      <c r="E265" s="88"/>
      <c r="F265" s="290">
        <v>1.026</v>
      </c>
      <c r="G265" s="100" t="s">
        <v>1618</v>
      </c>
    </row>
    <row r="266" spans="1:7" s="67" customFormat="1" ht="31.5">
      <c r="A266" s="101" t="s">
        <v>1622</v>
      </c>
      <c r="B266" s="101" t="s">
        <v>1622</v>
      </c>
      <c r="C266" s="101" t="s">
        <v>1622</v>
      </c>
      <c r="D266" s="96"/>
      <c r="E266" s="88"/>
      <c r="F266" s="290">
        <v>49.149000000000001</v>
      </c>
      <c r="G266" s="100" t="s">
        <v>1618</v>
      </c>
    </row>
    <row r="267" spans="1:7" s="67" customFormat="1" ht="31.5">
      <c r="A267" s="102" t="s">
        <v>1623</v>
      </c>
      <c r="B267" s="102" t="s">
        <v>1623</v>
      </c>
      <c r="C267" s="102" t="s">
        <v>1623</v>
      </c>
      <c r="D267" s="96"/>
      <c r="E267" s="88"/>
      <c r="F267" s="290">
        <v>11.682</v>
      </c>
      <c r="G267" s="100" t="s">
        <v>1624</v>
      </c>
    </row>
    <row r="268" spans="1:7" s="67" customFormat="1" ht="31.5">
      <c r="A268" s="103" t="s">
        <v>625</v>
      </c>
      <c r="B268" s="103" t="s">
        <v>625</v>
      </c>
      <c r="C268" s="103" t="s">
        <v>625</v>
      </c>
      <c r="D268" s="96"/>
      <c r="E268" s="88"/>
      <c r="F268" s="291">
        <v>37.814999999999998</v>
      </c>
      <c r="G268" s="100" t="s">
        <v>1624</v>
      </c>
    </row>
    <row r="269" spans="1:7" s="67" customFormat="1" ht="31.5">
      <c r="A269" s="103" t="s">
        <v>1625</v>
      </c>
      <c r="B269" s="103" t="s">
        <v>1625</v>
      </c>
      <c r="C269" s="103" t="s">
        <v>1625</v>
      </c>
      <c r="D269" s="96"/>
      <c r="E269" s="88"/>
      <c r="F269" s="290">
        <v>26.605</v>
      </c>
      <c r="G269" s="100" t="s">
        <v>1624</v>
      </c>
    </row>
    <row r="270" spans="1:7" s="67" customFormat="1" ht="31.5">
      <c r="A270" s="103" t="s">
        <v>1626</v>
      </c>
      <c r="B270" s="103" t="s">
        <v>1626</v>
      </c>
      <c r="C270" s="103" t="s">
        <v>1626</v>
      </c>
      <c r="D270" s="96"/>
      <c r="E270" s="88"/>
      <c r="F270" s="290">
        <v>22.466000000000001</v>
      </c>
      <c r="G270" s="100" t="s">
        <v>1624</v>
      </c>
    </row>
    <row r="271" spans="1:7" s="67" customFormat="1" ht="31.5">
      <c r="A271" s="103" t="s">
        <v>1627</v>
      </c>
      <c r="B271" s="103" t="s">
        <v>1627</v>
      </c>
      <c r="C271" s="103" t="s">
        <v>1627</v>
      </c>
      <c r="D271" s="96"/>
      <c r="E271" s="88"/>
      <c r="F271" s="290">
        <v>1.774</v>
      </c>
      <c r="G271" s="100" t="s">
        <v>1628</v>
      </c>
    </row>
    <row r="272" spans="1:7" s="67" customFormat="1" ht="31.5">
      <c r="A272" s="103" t="s">
        <v>1629</v>
      </c>
      <c r="B272" s="103" t="s">
        <v>1629</v>
      </c>
      <c r="C272" s="103" t="s">
        <v>1629</v>
      </c>
      <c r="D272" s="96"/>
      <c r="E272" s="88"/>
      <c r="F272" s="290">
        <v>10.27</v>
      </c>
      <c r="G272" s="100" t="s">
        <v>1630</v>
      </c>
    </row>
    <row r="273" spans="1:7" s="67" customFormat="1" ht="31.5">
      <c r="A273" s="103" t="s">
        <v>1631</v>
      </c>
      <c r="B273" s="103" t="s">
        <v>1631</v>
      </c>
      <c r="C273" s="103" t="s">
        <v>1631</v>
      </c>
      <c r="D273" s="96"/>
      <c r="E273" s="88"/>
      <c r="F273" s="290">
        <v>22.847000000000001</v>
      </c>
      <c r="G273" s="100" t="s">
        <v>1630</v>
      </c>
    </row>
    <row r="274" spans="1:7" s="67" customFormat="1" ht="31.5">
      <c r="A274" s="103" t="s">
        <v>1632</v>
      </c>
      <c r="B274" s="103" t="s">
        <v>1632</v>
      </c>
      <c r="C274" s="103" t="s">
        <v>1632</v>
      </c>
      <c r="D274" s="96"/>
      <c r="E274" s="88"/>
      <c r="F274" s="290">
        <v>15.917999999999999</v>
      </c>
      <c r="G274" s="100" t="s">
        <v>1630</v>
      </c>
    </row>
    <row r="275" spans="1:7" s="67" customFormat="1" ht="31.5">
      <c r="A275" s="103" t="s">
        <v>1633</v>
      </c>
      <c r="B275" s="103" t="s">
        <v>1633</v>
      </c>
      <c r="C275" s="103" t="s">
        <v>1633</v>
      </c>
      <c r="D275" s="96"/>
      <c r="E275" s="88"/>
      <c r="F275" s="290">
        <v>9.6349999999999998</v>
      </c>
      <c r="G275" s="100" t="s">
        <v>1630</v>
      </c>
    </row>
    <row r="276" spans="1:7" s="67" customFormat="1" ht="31.5">
      <c r="A276" s="103" t="s">
        <v>1634</v>
      </c>
      <c r="B276" s="103" t="s">
        <v>1634</v>
      </c>
      <c r="C276" s="103" t="s">
        <v>1634</v>
      </c>
      <c r="D276" s="96"/>
      <c r="E276" s="88"/>
      <c r="F276" s="290">
        <v>24.253</v>
      </c>
      <c r="G276" s="100" t="s">
        <v>1630</v>
      </c>
    </row>
    <row r="277" spans="1:7" s="67" customFormat="1" ht="31.5">
      <c r="A277" s="103" t="s">
        <v>1635</v>
      </c>
      <c r="B277" s="103" t="s">
        <v>1635</v>
      </c>
      <c r="C277" s="103" t="s">
        <v>1635</v>
      </c>
      <c r="D277" s="96"/>
      <c r="E277" s="88"/>
      <c r="F277" s="290">
        <v>60.991999999999997</v>
      </c>
      <c r="G277" s="100" t="s">
        <v>1630</v>
      </c>
    </row>
    <row r="278" spans="1:7" s="67" customFormat="1" ht="31.5">
      <c r="A278" s="103" t="s">
        <v>1636</v>
      </c>
      <c r="B278" s="103" t="s">
        <v>1636</v>
      </c>
      <c r="C278" s="103" t="s">
        <v>1636</v>
      </c>
      <c r="D278" s="96"/>
      <c r="E278" s="88"/>
      <c r="F278" s="290">
        <v>42.96</v>
      </c>
      <c r="G278" s="100" t="s">
        <v>1630</v>
      </c>
    </row>
    <row r="279" spans="1:7" s="67" customFormat="1" ht="31.5">
      <c r="A279" s="103" t="s">
        <v>1637</v>
      </c>
      <c r="B279" s="103" t="s">
        <v>1637</v>
      </c>
      <c r="C279" s="103" t="s">
        <v>1637</v>
      </c>
      <c r="D279" s="96"/>
      <c r="E279" s="88"/>
      <c r="F279" s="290">
        <v>54.554000000000002</v>
      </c>
      <c r="G279" s="100" t="s">
        <v>1630</v>
      </c>
    </row>
    <row r="280" spans="1:7" s="67" customFormat="1" ht="31.5">
      <c r="A280" s="103" t="s">
        <v>1638</v>
      </c>
      <c r="B280" s="103" t="s">
        <v>1638</v>
      </c>
      <c r="C280" s="103" t="s">
        <v>1638</v>
      </c>
      <c r="D280" s="96"/>
      <c r="E280" s="88"/>
      <c r="F280" s="290">
        <v>48.42</v>
      </c>
      <c r="G280" s="100" t="s">
        <v>1630</v>
      </c>
    </row>
    <row r="281" spans="1:7" s="67" customFormat="1" ht="47.25">
      <c r="A281" s="97" t="s">
        <v>609</v>
      </c>
      <c r="B281" s="97" t="s">
        <v>609</v>
      </c>
      <c r="C281" s="97" t="s">
        <v>609</v>
      </c>
      <c r="D281" s="96"/>
      <c r="E281" s="88"/>
      <c r="F281" s="292">
        <v>863.476</v>
      </c>
      <c r="G281" s="24" t="s">
        <v>1639</v>
      </c>
    </row>
    <row r="282" spans="1:7" s="67" customFormat="1" ht="31.5">
      <c r="A282" s="97" t="s">
        <v>1640</v>
      </c>
      <c r="B282" s="97" t="s">
        <v>1640</v>
      </c>
      <c r="C282" s="97" t="s">
        <v>1640</v>
      </c>
      <c r="D282" s="96"/>
      <c r="E282" s="88"/>
      <c r="F282" s="290">
        <v>65.683000000000007</v>
      </c>
      <c r="G282" s="24" t="s">
        <v>1641</v>
      </c>
    </row>
    <row r="283" spans="1:7" s="67" customFormat="1" ht="31.5">
      <c r="A283" s="97" t="s">
        <v>1642</v>
      </c>
      <c r="B283" s="97" t="s">
        <v>1642</v>
      </c>
      <c r="C283" s="97" t="s">
        <v>1642</v>
      </c>
      <c r="D283" s="96"/>
      <c r="E283" s="88"/>
      <c r="F283" s="290">
        <v>304.3</v>
      </c>
      <c r="G283" s="24" t="s">
        <v>1643</v>
      </c>
    </row>
    <row r="284" spans="1:7" s="67" customFormat="1" ht="31.5">
      <c r="A284" s="97" t="s">
        <v>1644</v>
      </c>
      <c r="B284" s="97" t="s">
        <v>1644</v>
      </c>
      <c r="C284" s="97" t="s">
        <v>1644</v>
      </c>
      <c r="D284" s="96"/>
      <c r="E284" s="88"/>
      <c r="F284" s="290">
        <v>277.839</v>
      </c>
      <c r="G284" s="24" t="s">
        <v>1643</v>
      </c>
    </row>
    <row r="285" spans="1:7" s="67" customFormat="1" ht="47.25">
      <c r="A285" s="97" t="s">
        <v>1645</v>
      </c>
      <c r="B285" s="97" t="s">
        <v>1645</v>
      </c>
      <c r="C285" s="97" t="s">
        <v>1645</v>
      </c>
      <c r="D285" s="96"/>
      <c r="E285" s="88"/>
      <c r="F285" s="290">
        <v>31.247</v>
      </c>
      <c r="G285" s="24" t="s">
        <v>1643</v>
      </c>
    </row>
    <row r="286" spans="1:7" s="67" customFormat="1" ht="31.5">
      <c r="A286" s="24" t="s">
        <v>1646</v>
      </c>
      <c r="B286" s="24" t="s">
        <v>1646</v>
      </c>
      <c r="C286" s="24" t="s">
        <v>1646</v>
      </c>
      <c r="D286" s="96"/>
      <c r="E286" s="88"/>
      <c r="F286" s="290">
        <v>22.451000000000001</v>
      </c>
      <c r="G286" s="24" t="s">
        <v>1647</v>
      </c>
    </row>
    <row r="287" spans="1:7" s="67" customFormat="1" ht="31.5">
      <c r="A287" s="24" t="s">
        <v>1648</v>
      </c>
      <c r="B287" s="24" t="s">
        <v>1648</v>
      </c>
      <c r="C287" s="24" t="s">
        <v>1648</v>
      </c>
      <c r="D287" s="96"/>
      <c r="E287" s="88"/>
      <c r="F287" s="290">
        <v>11.189</v>
      </c>
      <c r="G287" s="24" t="s">
        <v>1647</v>
      </c>
    </row>
    <row r="288" spans="1:7" s="67" customFormat="1" ht="31.5">
      <c r="A288" s="24" t="s">
        <v>1649</v>
      </c>
      <c r="B288" s="24" t="s">
        <v>1649</v>
      </c>
      <c r="C288" s="24" t="s">
        <v>1649</v>
      </c>
      <c r="D288" s="96"/>
      <c r="E288" s="88"/>
      <c r="F288" s="290">
        <v>16.576000000000001</v>
      </c>
      <c r="G288" s="24" t="s">
        <v>1647</v>
      </c>
    </row>
    <row r="289" spans="1:7" s="67" customFormat="1" ht="31.5">
      <c r="A289" s="97" t="s">
        <v>1650</v>
      </c>
      <c r="B289" s="97" t="s">
        <v>1650</v>
      </c>
      <c r="C289" s="97" t="s">
        <v>1650</v>
      </c>
      <c r="D289" s="96"/>
      <c r="E289" s="88"/>
      <c r="F289" s="290">
        <v>321.01</v>
      </c>
      <c r="G289" s="24" t="s">
        <v>1651</v>
      </c>
    </row>
    <row r="290" spans="1:7" s="67" customFormat="1" ht="31.5">
      <c r="A290" s="97" t="s">
        <v>1652</v>
      </c>
      <c r="B290" s="97" t="s">
        <v>1652</v>
      </c>
      <c r="C290" s="97" t="s">
        <v>1652</v>
      </c>
      <c r="D290" s="96"/>
      <c r="E290" s="88"/>
      <c r="F290" s="290">
        <v>277.67700000000002</v>
      </c>
      <c r="G290" s="24" t="s">
        <v>1651</v>
      </c>
    </row>
    <row r="291" spans="1:7" s="67" customFormat="1" ht="31.5">
      <c r="A291" s="97" t="s">
        <v>1653</v>
      </c>
      <c r="B291" s="97" t="s">
        <v>1653</v>
      </c>
      <c r="C291" s="97" t="s">
        <v>1653</v>
      </c>
      <c r="D291" s="96"/>
      <c r="E291" s="88"/>
      <c r="F291" s="290">
        <v>534.29300000000001</v>
      </c>
      <c r="G291" s="24" t="s">
        <v>1654</v>
      </c>
    </row>
    <row r="292" spans="1:7" s="67" customFormat="1" ht="47.25">
      <c r="A292" s="97" t="s">
        <v>1655</v>
      </c>
      <c r="B292" s="97" t="s">
        <v>1655</v>
      </c>
      <c r="C292" s="97" t="s">
        <v>1655</v>
      </c>
      <c r="D292" s="96"/>
      <c r="E292" s="88"/>
      <c r="F292" s="290">
        <v>3.4060000000000001</v>
      </c>
      <c r="G292" s="24" t="s">
        <v>1512</v>
      </c>
    </row>
    <row r="293" spans="1:7" s="67" customFormat="1" ht="31.5">
      <c r="A293" s="97" t="s">
        <v>1656</v>
      </c>
      <c r="B293" s="97" t="s">
        <v>1656</v>
      </c>
      <c r="C293" s="97" t="s">
        <v>1656</v>
      </c>
      <c r="D293" s="96"/>
      <c r="E293" s="88"/>
      <c r="F293" s="290">
        <v>58.664999999999999</v>
      </c>
      <c r="G293" s="99" t="s">
        <v>611</v>
      </c>
    </row>
    <row r="294" spans="1:7" s="67" customFormat="1" ht="31.5">
      <c r="A294" s="97" t="s">
        <v>1657</v>
      </c>
      <c r="B294" s="97" t="s">
        <v>1657</v>
      </c>
      <c r="C294" s="97" t="s">
        <v>1657</v>
      </c>
      <c r="D294" s="96"/>
      <c r="E294" s="88"/>
      <c r="F294" s="290">
        <v>26.471</v>
      </c>
      <c r="G294" s="99" t="s">
        <v>611</v>
      </c>
    </row>
    <row r="295" spans="1:7" s="67" customFormat="1" ht="47.25">
      <c r="A295" s="97" t="s">
        <v>1658</v>
      </c>
      <c r="B295" s="97" t="s">
        <v>1658</v>
      </c>
      <c r="C295" s="97" t="s">
        <v>1658</v>
      </c>
      <c r="D295" s="96"/>
      <c r="E295" s="88"/>
      <c r="F295" s="290">
        <v>33.704000000000001</v>
      </c>
      <c r="G295" s="24" t="s">
        <v>1520</v>
      </c>
    </row>
    <row r="296" spans="1:7" s="67" customFormat="1" ht="47.25">
      <c r="A296" s="97" t="s">
        <v>1659</v>
      </c>
      <c r="B296" s="97" t="s">
        <v>1659</v>
      </c>
      <c r="C296" s="97" t="s">
        <v>1659</v>
      </c>
      <c r="D296" s="96"/>
      <c r="E296" s="88"/>
      <c r="F296" s="290">
        <v>1.8460000000000001</v>
      </c>
      <c r="G296" s="24" t="s">
        <v>1520</v>
      </c>
    </row>
    <row r="297" spans="1:7" s="67" customFormat="1" ht="31.5">
      <c r="A297" s="97" t="s">
        <v>1660</v>
      </c>
      <c r="B297" s="97" t="s">
        <v>1660</v>
      </c>
      <c r="C297" s="97" t="s">
        <v>1660</v>
      </c>
      <c r="D297" s="96"/>
      <c r="E297" s="88"/>
      <c r="F297" s="290">
        <v>581.96500000000003</v>
      </c>
      <c r="G297" s="24" t="s">
        <v>1661</v>
      </c>
    </row>
    <row r="298" spans="1:7" s="67" customFormat="1" ht="31.5">
      <c r="A298" s="97" t="s">
        <v>1662</v>
      </c>
      <c r="B298" s="97" t="s">
        <v>1662</v>
      </c>
      <c r="C298" s="97" t="s">
        <v>1662</v>
      </c>
      <c r="D298" s="96"/>
      <c r="E298" s="88"/>
      <c r="F298" s="290">
        <v>68.524000000000001</v>
      </c>
      <c r="G298" s="24" t="s">
        <v>1663</v>
      </c>
    </row>
    <row r="299" spans="1:7" s="67" customFormat="1" ht="31.5">
      <c r="A299" s="97" t="s">
        <v>1664</v>
      </c>
      <c r="B299" s="97" t="s">
        <v>1664</v>
      </c>
      <c r="C299" s="97" t="s">
        <v>1664</v>
      </c>
      <c r="D299" s="96"/>
      <c r="E299" s="88"/>
      <c r="F299" s="290">
        <v>1.8460000000000001</v>
      </c>
      <c r="G299" s="24" t="s">
        <v>1663</v>
      </c>
    </row>
    <row r="300" spans="1:7" s="67" customFormat="1" ht="31.5">
      <c r="A300" s="97" t="s">
        <v>1665</v>
      </c>
      <c r="B300" s="97" t="s">
        <v>1665</v>
      </c>
      <c r="C300" s="97" t="s">
        <v>1665</v>
      </c>
      <c r="D300" s="96"/>
      <c r="E300" s="88"/>
      <c r="F300" s="290">
        <v>52.183999999999997</v>
      </c>
      <c r="G300" s="24" t="s">
        <v>1663</v>
      </c>
    </row>
    <row r="301" spans="1:7" s="67" customFormat="1" ht="31.5">
      <c r="A301" s="97" t="s">
        <v>1666</v>
      </c>
      <c r="B301" s="97" t="s">
        <v>1666</v>
      </c>
      <c r="C301" s="97" t="s">
        <v>1666</v>
      </c>
      <c r="D301" s="96"/>
      <c r="E301" s="88"/>
      <c r="F301" s="290">
        <v>27.4</v>
      </c>
      <c r="G301" s="24" t="s">
        <v>1663</v>
      </c>
    </row>
    <row r="302" spans="1:7" s="67" customFormat="1" ht="47.25">
      <c r="A302" s="97" t="s">
        <v>1667</v>
      </c>
      <c r="B302" s="97" t="s">
        <v>1667</v>
      </c>
      <c r="C302" s="97" t="s">
        <v>1667</v>
      </c>
      <c r="D302" s="96"/>
      <c r="E302" s="88"/>
      <c r="F302" s="290">
        <v>0.69599999999999995</v>
      </c>
      <c r="G302" s="24" t="s">
        <v>1663</v>
      </c>
    </row>
    <row r="303" spans="1:7" s="67" customFormat="1" ht="31.5">
      <c r="A303" s="97" t="s">
        <v>1668</v>
      </c>
      <c r="B303" s="97" t="s">
        <v>1668</v>
      </c>
      <c r="C303" s="97" t="s">
        <v>1668</v>
      </c>
      <c r="D303" s="96"/>
      <c r="E303" s="88"/>
      <c r="F303" s="290">
        <v>3.1680000000000001</v>
      </c>
      <c r="G303" s="24" t="s">
        <v>1663</v>
      </c>
    </row>
    <row r="304" spans="1:7" s="67" customFormat="1" ht="63">
      <c r="A304" s="97" t="s">
        <v>613</v>
      </c>
      <c r="B304" s="97" t="s">
        <v>613</v>
      </c>
      <c r="C304" s="97" t="s">
        <v>613</v>
      </c>
      <c r="D304" s="96"/>
      <c r="E304" s="88"/>
      <c r="F304" s="290">
        <v>122.824</v>
      </c>
      <c r="G304" s="24" t="s">
        <v>1669</v>
      </c>
    </row>
    <row r="305" spans="1:7" s="67" customFormat="1" ht="31.5">
      <c r="A305" s="97" t="s">
        <v>615</v>
      </c>
      <c r="B305" s="97" t="s">
        <v>615</v>
      </c>
      <c r="C305" s="97" t="s">
        <v>615</v>
      </c>
      <c r="D305" s="96"/>
      <c r="E305" s="88"/>
      <c r="F305" s="290">
        <v>33.241999999999997</v>
      </c>
      <c r="G305" s="24" t="s">
        <v>1670</v>
      </c>
    </row>
    <row r="306" spans="1:7" s="67" customFormat="1" ht="31.5">
      <c r="A306" s="97" t="s">
        <v>1671</v>
      </c>
      <c r="B306" s="97" t="s">
        <v>1671</v>
      </c>
      <c r="C306" s="97" t="s">
        <v>1671</v>
      </c>
      <c r="D306" s="96"/>
      <c r="E306" s="88"/>
      <c r="F306" s="290">
        <v>3.1840000000000002</v>
      </c>
      <c r="G306" s="24" t="s">
        <v>1670</v>
      </c>
    </row>
    <row r="307" spans="1:7" s="67" customFormat="1" ht="31.5">
      <c r="A307" s="97" t="s">
        <v>616</v>
      </c>
      <c r="B307" s="97" t="s">
        <v>616</v>
      </c>
      <c r="C307" s="97" t="s">
        <v>616</v>
      </c>
      <c r="D307" s="96"/>
      <c r="E307" s="88"/>
      <c r="F307" s="290">
        <v>33.241999999999997</v>
      </c>
      <c r="G307" s="24" t="s">
        <v>1670</v>
      </c>
    </row>
    <row r="308" spans="1:7" s="67" customFormat="1" ht="31.5">
      <c r="A308" s="97" t="s">
        <v>1672</v>
      </c>
      <c r="B308" s="97" t="s">
        <v>1672</v>
      </c>
      <c r="C308" s="97" t="s">
        <v>1672</v>
      </c>
      <c r="D308" s="96"/>
      <c r="E308" s="88"/>
      <c r="F308" s="290">
        <v>4.3869999999999996</v>
      </c>
      <c r="G308" s="24" t="s">
        <v>1670</v>
      </c>
    </row>
    <row r="309" spans="1:7" s="67" customFormat="1" ht="31.5">
      <c r="A309" s="97" t="s">
        <v>1673</v>
      </c>
      <c r="B309" s="97" t="s">
        <v>1673</v>
      </c>
      <c r="C309" s="97" t="s">
        <v>1673</v>
      </c>
      <c r="D309" s="96"/>
      <c r="E309" s="88"/>
      <c r="F309" s="290">
        <v>168.76599999999999</v>
      </c>
      <c r="G309" s="24" t="s">
        <v>1670</v>
      </c>
    </row>
    <row r="310" spans="1:7" s="67" customFormat="1" ht="31.5">
      <c r="A310" s="97" t="s">
        <v>1674</v>
      </c>
      <c r="B310" s="97" t="s">
        <v>1674</v>
      </c>
      <c r="C310" s="97" t="s">
        <v>1674</v>
      </c>
      <c r="D310" s="96"/>
      <c r="E310" s="88"/>
      <c r="F310" s="290">
        <v>37.46</v>
      </c>
      <c r="G310" s="24" t="s">
        <v>1670</v>
      </c>
    </row>
    <row r="311" spans="1:7" s="67" customFormat="1" ht="31.5">
      <c r="A311" s="97" t="s">
        <v>1675</v>
      </c>
      <c r="B311" s="97" t="s">
        <v>1675</v>
      </c>
      <c r="C311" s="97" t="s">
        <v>1675</v>
      </c>
      <c r="D311" s="96"/>
      <c r="E311" s="88"/>
      <c r="F311" s="290">
        <v>0.86599999999999999</v>
      </c>
      <c r="G311" s="24" t="s">
        <v>1670</v>
      </c>
    </row>
    <row r="312" spans="1:7" s="67" customFormat="1" ht="31.5">
      <c r="A312" s="97" t="s">
        <v>1676</v>
      </c>
      <c r="B312" s="97" t="s">
        <v>1676</v>
      </c>
      <c r="C312" s="97" t="s">
        <v>1676</v>
      </c>
      <c r="D312" s="96"/>
      <c r="E312" s="88"/>
      <c r="F312" s="290">
        <v>1.2310000000000001</v>
      </c>
      <c r="G312" s="24" t="s">
        <v>1670</v>
      </c>
    </row>
    <row r="313" spans="1:7" s="67" customFormat="1" ht="47.25">
      <c r="A313" s="97" t="s">
        <v>618</v>
      </c>
      <c r="B313" s="97" t="s">
        <v>618</v>
      </c>
      <c r="C313" s="97" t="s">
        <v>618</v>
      </c>
      <c r="D313" s="96"/>
      <c r="E313" s="88"/>
      <c r="F313" s="290">
        <v>8.0489999999999995</v>
      </c>
      <c r="G313" s="24" t="s">
        <v>1677</v>
      </c>
    </row>
    <row r="314" spans="1:7" s="67" customFormat="1" ht="47.25">
      <c r="A314" s="97" t="s">
        <v>1678</v>
      </c>
      <c r="B314" s="97" t="s">
        <v>1678</v>
      </c>
      <c r="C314" s="97" t="s">
        <v>1678</v>
      </c>
      <c r="D314" s="96"/>
      <c r="E314" s="88"/>
      <c r="F314" s="290">
        <v>68.643000000000001</v>
      </c>
      <c r="G314" s="24" t="s">
        <v>1548</v>
      </c>
    </row>
    <row r="315" spans="1:7" s="67" customFormat="1" ht="31.5">
      <c r="A315" s="97" t="s">
        <v>1679</v>
      </c>
      <c r="B315" s="97" t="s">
        <v>1679</v>
      </c>
      <c r="C315" s="97" t="s">
        <v>1679</v>
      </c>
      <c r="D315" s="96"/>
      <c r="E315" s="88"/>
      <c r="F315" s="290">
        <v>190.845</v>
      </c>
      <c r="G315" s="24" t="s">
        <v>1680</v>
      </c>
    </row>
    <row r="316" spans="1:7" s="67" customFormat="1" ht="31.5">
      <c r="A316" s="97" t="s">
        <v>1681</v>
      </c>
      <c r="B316" s="97" t="s">
        <v>1681</v>
      </c>
      <c r="C316" s="97" t="s">
        <v>1681</v>
      </c>
      <c r="D316" s="96"/>
      <c r="E316" s="88"/>
      <c r="F316" s="290">
        <v>208.17500000000001</v>
      </c>
      <c r="G316" s="24" t="s">
        <v>1680</v>
      </c>
    </row>
    <row r="317" spans="1:7" s="67" customFormat="1" ht="47.25">
      <c r="A317" s="104" t="s">
        <v>1682</v>
      </c>
      <c r="B317" s="104" t="s">
        <v>1682</v>
      </c>
      <c r="C317" s="104" t="s">
        <v>1682</v>
      </c>
      <c r="D317" s="96"/>
      <c r="E317" s="88"/>
      <c r="F317" s="290">
        <v>119.35599999999999</v>
      </c>
      <c r="G317" s="24" t="s">
        <v>1548</v>
      </c>
    </row>
    <row r="318" spans="1:7" s="67" customFormat="1" ht="31.5">
      <c r="A318" s="104" t="s">
        <v>1683</v>
      </c>
      <c r="B318" s="104" t="s">
        <v>1683</v>
      </c>
      <c r="C318" s="104" t="s">
        <v>1683</v>
      </c>
      <c r="D318" s="96"/>
      <c r="E318" s="88"/>
      <c r="F318" s="290">
        <v>395.5</v>
      </c>
      <c r="G318" s="24" t="s">
        <v>1547</v>
      </c>
    </row>
    <row r="319" spans="1:7" s="67" customFormat="1" ht="31.5">
      <c r="A319" s="104" t="s">
        <v>1684</v>
      </c>
      <c r="B319" s="104" t="s">
        <v>1684</v>
      </c>
      <c r="C319" s="104" t="s">
        <v>1684</v>
      </c>
      <c r="D319" s="96"/>
      <c r="E319" s="88"/>
      <c r="F319" s="290">
        <v>346.5</v>
      </c>
      <c r="G319" s="24" t="s">
        <v>1547</v>
      </c>
    </row>
    <row r="320" spans="1:7" s="67" customFormat="1" ht="31.5">
      <c r="A320" s="104" t="s">
        <v>1685</v>
      </c>
      <c r="B320" s="104" t="s">
        <v>1685</v>
      </c>
      <c r="C320" s="104" t="s">
        <v>1685</v>
      </c>
      <c r="D320" s="96"/>
      <c r="E320" s="88"/>
      <c r="F320" s="290">
        <v>480</v>
      </c>
      <c r="G320" s="24" t="s">
        <v>1661</v>
      </c>
    </row>
    <row r="321" spans="1:7" s="67" customFormat="1" ht="31.5">
      <c r="A321" s="104" t="s">
        <v>1686</v>
      </c>
      <c r="B321" s="104" t="s">
        <v>1686</v>
      </c>
      <c r="C321" s="104" t="s">
        <v>1686</v>
      </c>
      <c r="D321" s="96"/>
      <c r="E321" s="88"/>
      <c r="F321" s="290">
        <v>346.35899999999998</v>
      </c>
      <c r="G321" s="24" t="s">
        <v>1661</v>
      </c>
    </row>
    <row r="322" spans="1:7" s="67" customFormat="1" ht="31.5">
      <c r="A322" s="104" t="s">
        <v>1687</v>
      </c>
      <c r="B322" s="104" t="s">
        <v>1687</v>
      </c>
      <c r="C322" s="104" t="s">
        <v>1687</v>
      </c>
      <c r="D322" s="96"/>
      <c r="E322" s="88"/>
      <c r="F322" s="290">
        <v>1.2310000000000001</v>
      </c>
      <c r="G322" s="24" t="s">
        <v>1661</v>
      </c>
    </row>
    <row r="323" spans="1:7" s="67" customFormat="1" ht="31.5">
      <c r="A323" s="104" t="s">
        <v>1688</v>
      </c>
      <c r="B323" s="104" t="s">
        <v>1688</v>
      </c>
      <c r="C323" s="104" t="s">
        <v>1688</v>
      </c>
      <c r="D323" s="96"/>
      <c r="E323" s="88"/>
      <c r="F323" s="290">
        <v>1.2310000000000001</v>
      </c>
      <c r="G323" s="24" t="s">
        <v>1661</v>
      </c>
    </row>
    <row r="324" spans="1:7" s="67" customFormat="1" ht="47.25">
      <c r="A324" s="104" t="s">
        <v>1689</v>
      </c>
      <c r="B324" s="104" t="s">
        <v>1689</v>
      </c>
      <c r="C324" s="104" t="s">
        <v>1689</v>
      </c>
      <c r="D324" s="96"/>
      <c r="E324" s="88"/>
      <c r="F324" s="290">
        <v>19.091999999999999</v>
      </c>
      <c r="G324" s="24" t="s">
        <v>1661</v>
      </c>
    </row>
    <row r="325" spans="1:7" s="67" customFormat="1" ht="47.25">
      <c r="A325" s="104" t="s">
        <v>1690</v>
      </c>
      <c r="B325" s="104" t="s">
        <v>1690</v>
      </c>
      <c r="C325" s="104" t="s">
        <v>1690</v>
      </c>
      <c r="D325" s="96"/>
      <c r="E325" s="88"/>
      <c r="F325" s="290">
        <v>1.2170000000000001</v>
      </c>
      <c r="G325" s="24" t="s">
        <v>1691</v>
      </c>
    </row>
    <row r="326" spans="1:7" s="67" customFormat="1" ht="31.5">
      <c r="A326" s="104" t="s">
        <v>1692</v>
      </c>
      <c r="B326" s="104" t="s">
        <v>1692</v>
      </c>
      <c r="C326" s="104" t="s">
        <v>1692</v>
      </c>
      <c r="D326" s="96"/>
      <c r="E326" s="88"/>
      <c r="F326" s="290">
        <v>74.382999999999996</v>
      </c>
      <c r="G326" s="24" t="s">
        <v>1693</v>
      </c>
    </row>
    <row r="327" spans="1:7" s="67" customFormat="1" ht="31.5">
      <c r="A327" s="104" t="s">
        <v>1694</v>
      </c>
      <c r="B327" s="104" t="s">
        <v>1694</v>
      </c>
      <c r="C327" s="104" t="s">
        <v>1694</v>
      </c>
      <c r="D327" s="96"/>
      <c r="E327" s="88"/>
      <c r="F327" s="290">
        <v>17.387</v>
      </c>
      <c r="G327" s="24" t="s">
        <v>1693</v>
      </c>
    </row>
    <row r="328" spans="1:7" s="67" customFormat="1" ht="31.5">
      <c r="A328" s="105" t="s">
        <v>1695</v>
      </c>
      <c r="B328" s="105" t="s">
        <v>1695</v>
      </c>
      <c r="C328" s="105" t="s">
        <v>1695</v>
      </c>
      <c r="D328" s="96"/>
      <c r="E328" s="88"/>
      <c r="F328" s="290">
        <v>73.872</v>
      </c>
      <c r="G328" s="24" t="s">
        <v>1507</v>
      </c>
    </row>
    <row r="329" spans="1:7" s="67" customFormat="1" ht="31.5">
      <c r="A329" s="105" t="s">
        <v>1695</v>
      </c>
      <c r="B329" s="105" t="s">
        <v>1695</v>
      </c>
      <c r="C329" s="105" t="s">
        <v>1695</v>
      </c>
      <c r="D329" s="96"/>
      <c r="E329" s="88"/>
      <c r="F329" s="290">
        <v>18.468</v>
      </c>
      <c r="G329" s="24" t="s">
        <v>1507</v>
      </c>
    </row>
    <row r="330" spans="1:7" s="67" customFormat="1" ht="31.5">
      <c r="A330" s="105" t="s">
        <v>1695</v>
      </c>
      <c r="B330" s="105" t="s">
        <v>1695</v>
      </c>
      <c r="C330" s="105" t="s">
        <v>1695</v>
      </c>
      <c r="D330" s="96"/>
      <c r="E330" s="88"/>
      <c r="F330" s="290">
        <v>9.234</v>
      </c>
      <c r="G330" s="24" t="s">
        <v>1507</v>
      </c>
    </row>
    <row r="331" spans="1:7" s="67" customFormat="1" ht="31.5">
      <c r="A331" s="98" t="s">
        <v>1696</v>
      </c>
      <c r="B331" s="98" t="s">
        <v>1696</v>
      </c>
      <c r="C331" s="98" t="s">
        <v>1696</v>
      </c>
      <c r="D331" s="96"/>
      <c r="E331" s="88"/>
      <c r="F331" s="290">
        <v>133.964</v>
      </c>
      <c r="G331" s="24" t="s">
        <v>1507</v>
      </c>
    </row>
    <row r="332" spans="1:7" s="67" customFormat="1" ht="47.25">
      <c r="A332" s="98" t="s">
        <v>1697</v>
      </c>
      <c r="B332" s="98" t="s">
        <v>1697</v>
      </c>
      <c r="C332" s="98" t="s">
        <v>1697</v>
      </c>
      <c r="D332" s="96"/>
      <c r="E332" s="88"/>
      <c r="F332" s="290">
        <v>3.351</v>
      </c>
      <c r="G332" s="24" t="s">
        <v>1507</v>
      </c>
    </row>
    <row r="333" spans="1:7" s="67" customFormat="1" ht="47.25">
      <c r="A333" s="98" t="s">
        <v>1698</v>
      </c>
      <c r="B333" s="98" t="s">
        <v>1698</v>
      </c>
      <c r="C333" s="98" t="s">
        <v>1698</v>
      </c>
      <c r="D333" s="96"/>
      <c r="E333" s="88"/>
      <c r="F333" s="290">
        <v>3.351</v>
      </c>
      <c r="G333" s="24" t="s">
        <v>1507</v>
      </c>
    </row>
    <row r="334" spans="1:7" s="67" customFormat="1" ht="47.25">
      <c r="A334" s="98" t="s">
        <v>1699</v>
      </c>
      <c r="B334" s="98" t="s">
        <v>1699</v>
      </c>
      <c r="C334" s="98" t="s">
        <v>1699</v>
      </c>
      <c r="D334" s="96"/>
      <c r="E334" s="88"/>
      <c r="F334" s="290">
        <v>3.351</v>
      </c>
      <c r="G334" s="24" t="s">
        <v>1507</v>
      </c>
    </row>
    <row r="335" spans="1:7" s="67" customFormat="1" ht="47.25">
      <c r="A335" s="98" t="s">
        <v>1700</v>
      </c>
      <c r="B335" s="98" t="s">
        <v>1700</v>
      </c>
      <c r="C335" s="98" t="s">
        <v>1700</v>
      </c>
      <c r="D335" s="96"/>
      <c r="E335" s="88"/>
      <c r="F335" s="290">
        <v>3.351</v>
      </c>
      <c r="G335" s="24" t="s">
        <v>1507</v>
      </c>
    </row>
    <row r="336" spans="1:7" s="67" customFormat="1" ht="47.25">
      <c r="A336" s="98" t="s">
        <v>1701</v>
      </c>
      <c r="B336" s="98" t="s">
        <v>1701</v>
      </c>
      <c r="C336" s="98" t="s">
        <v>1701</v>
      </c>
      <c r="D336" s="96"/>
      <c r="E336" s="88"/>
      <c r="F336" s="290">
        <v>3.351</v>
      </c>
      <c r="G336" s="24" t="s">
        <v>1507</v>
      </c>
    </row>
    <row r="337" spans="1:7" s="67" customFormat="1" ht="47.25">
      <c r="A337" s="98" t="s">
        <v>1702</v>
      </c>
      <c r="B337" s="98" t="s">
        <v>1702</v>
      </c>
      <c r="C337" s="98" t="s">
        <v>1702</v>
      </c>
      <c r="D337" s="96"/>
      <c r="E337" s="88"/>
      <c r="F337" s="290">
        <v>3.351</v>
      </c>
      <c r="G337" s="24" t="s">
        <v>1507</v>
      </c>
    </row>
    <row r="338" spans="1:7" s="67" customFormat="1" ht="31.5">
      <c r="A338" s="98" t="s">
        <v>1703</v>
      </c>
      <c r="B338" s="98" t="s">
        <v>1703</v>
      </c>
      <c r="C338" s="98" t="s">
        <v>1703</v>
      </c>
      <c r="D338" s="96"/>
      <c r="E338" s="88"/>
      <c r="F338" s="290">
        <v>15.39</v>
      </c>
      <c r="G338" s="24" t="s">
        <v>1507</v>
      </c>
    </row>
    <row r="339" spans="1:7" s="67" customFormat="1" ht="31.5">
      <c r="A339" s="98" t="s">
        <v>1704</v>
      </c>
      <c r="B339" s="98" t="s">
        <v>1704</v>
      </c>
      <c r="C339" s="98" t="s">
        <v>1704</v>
      </c>
      <c r="D339" s="96"/>
      <c r="E339" s="88"/>
      <c r="F339" s="290">
        <v>6.1559999999999997</v>
      </c>
      <c r="G339" s="24" t="s">
        <v>1507</v>
      </c>
    </row>
    <row r="340" spans="1:7" s="67" customFormat="1" ht="31.5">
      <c r="A340" s="98" t="s">
        <v>1704</v>
      </c>
      <c r="B340" s="98" t="s">
        <v>1704</v>
      </c>
      <c r="C340" s="98" t="s">
        <v>1704</v>
      </c>
      <c r="D340" s="96"/>
      <c r="E340" s="88"/>
      <c r="F340" s="290">
        <v>24.623999999999999</v>
      </c>
      <c r="G340" s="24" t="s">
        <v>1507</v>
      </c>
    </row>
    <row r="341" spans="1:7" s="67" customFormat="1" ht="31.5">
      <c r="A341" s="98" t="s">
        <v>1705</v>
      </c>
      <c r="B341" s="98" t="s">
        <v>1705</v>
      </c>
      <c r="C341" s="98" t="s">
        <v>1705</v>
      </c>
      <c r="D341" s="96"/>
      <c r="E341" s="88"/>
      <c r="F341" s="290">
        <v>3.0779999999999998</v>
      </c>
      <c r="G341" s="24" t="s">
        <v>1507</v>
      </c>
    </row>
    <row r="342" spans="1:7" s="67" customFormat="1" ht="31.5">
      <c r="A342" s="98" t="s">
        <v>1706</v>
      </c>
      <c r="B342" s="98" t="s">
        <v>1706</v>
      </c>
      <c r="C342" s="98" t="s">
        <v>1706</v>
      </c>
      <c r="D342" s="96"/>
      <c r="E342" s="88"/>
      <c r="F342" s="290">
        <v>1.026</v>
      </c>
      <c r="G342" s="24" t="s">
        <v>1507</v>
      </c>
    </row>
    <row r="343" spans="1:7" s="67" customFormat="1" ht="31.5">
      <c r="A343" s="98" t="s">
        <v>1707</v>
      </c>
      <c r="B343" s="98" t="s">
        <v>1707</v>
      </c>
      <c r="C343" s="98" t="s">
        <v>1707</v>
      </c>
      <c r="D343" s="96"/>
      <c r="E343" s="88"/>
      <c r="F343" s="290">
        <v>13.5</v>
      </c>
      <c r="G343" s="24" t="s">
        <v>1507</v>
      </c>
    </row>
    <row r="344" spans="1:7" s="67" customFormat="1" ht="31.5">
      <c r="A344" s="98" t="s">
        <v>1708</v>
      </c>
      <c r="B344" s="98" t="s">
        <v>1708</v>
      </c>
      <c r="C344" s="98" t="s">
        <v>1708</v>
      </c>
      <c r="D344" s="96"/>
      <c r="E344" s="88"/>
      <c r="F344" s="290">
        <v>0.51300000000000001</v>
      </c>
      <c r="G344" s="24" t="s">
        <v>1507</v>
      </c>
    </row>
    <row r="345" spans="1:7" s="67" customFormat="1" ht="31.5">
      <c r="A345" s="98" t="s">
        <v>1709</v>
      </c>
      <c r="B345" s="98" t="s">
        <v>1709</v>
      </c>
      <c r="C345" s="98" t="s">
        <v>1709</v>
      </c>
      <c r="D345" s="96"/>
      <c r="E345" s="88"/>
      <c r="F345" s="290">
        <v>0.51300000000000001</v>
      </c>
      <c r="G345" s="24" t="s">
        <v>1507</v>
      </c>
    </row>
    <row r="346" spans="1:7" s="67" customFormat="1" ht="31.5">
      <c r="A346" s="98" t="s">
        <v>1710</v>
      </c>
      <c r="B346" s="98" t="s">
        <v>1710</v>
      </c>
      <c r="C346" s="98" t="s">
        <v>1710</v>
      </c>
      <c r="D346" s="96"/>
      <c r="E346" s="88"/>
      <c r="F346" s="290">
        <v>0.51300000000000001</v>
      </c>
      <c r="G346" s="24" t="s">
        <v>1507</v>
      </c>
    </row>
    <row r="347" spans="1:7" s="67" customFormat="1" ht="31.5">
      <c r="A347" s="98" t="s">
        <v>1711</v>
      </c>
      <c r="B347" s="98" t="s">
        <v>1711</v>
      </c>
      <c r="C347" s="98" t="s">
        <v>1711</v>
      </c>
      <c r="D347" s="96"/>
      <c r="E347" s="88"/>
      <c r="F347" s="290">
        <v>99.036000000000001</v>
      </c>
      <c r="G347" s="100" t="s">
        <v>1712</v>
      </c>
    </row>
    <row r="348" spans="1:7" s="67" customFormat="1" ht="31.5">
      <c r="A348" s="98" t="s">
        <v>1713</v>
      </c>
      <c r="B348" s="98" t="s">
        <v>1713</v>
      </c>
      <c r="C348" s="98" t="s">
        <v>1713</v>
      </c>
      <c r="D348" s="96"/>
      <c r="E348" s="88"/>
      <c r="F348" s="290">
        <v>127.366</v>
      </c>
      <c r="G348" s="100" t="s">
        <v>619</v>
      </c>
    </row>
    <row r="349" spans="1:7" s="67" customFormat="1" ht="31.5">
      <c r="A349" s="98" t="s">
        <v>1714</v>
      </c>
      <c r="B349" s="98" t="s">
        <v>1714</v>
      </c>
      <c r="C349" s="98" t="s">
        <v>1714</v>
      </c>
      <c r="D349" s="96"/>
      <c r="E349" s="88"/>
      <c r="F349" s="290">
        <v>0.51300000000000001</v>
      </c>
      <c r="G349" s="100" t="s">
        <v>619</v>
      </c>
    </row>
    <row r="350" spans="1:7" s="67" customFormat="1" ht="31.5">
      <c r="A350" s="98" t="s">
        <v>1715</v>
      </c>
      <c r="B350" s="98" t="s">
        <v>1715</v>
      </c>
      <c r="C350" s="98" t="s">
        <v>1715</v>
      </c>
      <c r="D350" s="96"/>
      <c r="E350" s="88"/>
      <c r="F350" s="290">
        <v>150.57900000000001</v>
      </c>
      <c r="G350" s="100" t="s">
        <v>619</v>
      </c>
    </row>
    <row r="351" spans="1:7" s="67" customFormat="1" ht="31.5">
      <c r="A351" s="98" t="s">
        <v>1716</v>
      </c>
      <c r="B351" s="98" t="s">
        <v>1716</v>
      </c>
      <c r="C351" s="98" t="s">
        <v>1716</v>
      </c>
      <c r="D351" s="96"/>
      <c r="E351" s="88"/>
      <c r="F351" s="290">
        <v>3.9180000000000001</v>
      </c>
      <c r="G351" s="100" t="s">
        <v>1624</v>
      </c>
    </row>
    <row r="352" spans="1:7" s="67" customFormat="1" ht="31.5">
      <c r="A352" s="98" t="s">
        <v>1717</v>
      </c>
      <c r="B352" s="98" t="s">
        <v>1717</v>
      </c>
      <c r="C352" s="98" t="s">
        <v>1717</v>
      </c>
      <c r="D352" s="96"/>
      <c r="E352" s="88"/>
      <c r="F352" s="290">
        <v>1.8169999999999999</v>
      </c>
      <c r="G352" s="100" t="s">
        <v>1624</v>
      </c>
    </row>
    <row r="353" spans="1:7" s="67" customFormat="1" ht="31.5">
      <c r="A353" s="98" t="s">
        <v>1718</v>
      </c>
      <c r="B353" s="98" t="s">
        <v>1718</v>
      </c>
      <c r="C353" s="98" t="s">
        <v>1718</v>
      </c>
      <c r="D353" s="96"/>
      <c r="E353" s="88"/>
      <c r="F353" s="290">
        <v>2.8879999999999999</v>
      </c>
      <c r="G353" s="100" t="s">
        <v>1624</v>
      </c>
    </row>
    <row r="354" spans="1:7" s="67" customFormat="1" ht="31.5">
      <c r="A354" s="98" t="s">
        <v>1719</v>
      </c>
      <c r="B354" s="98" t="s">
        <v>1719</v>
      </c>
      <c r="C354" s="98" t="s">
        <v>1719</v>
      </c>
      <c r="D354" s="96"/>
      <c r="E354" s="88"/>
      <c r="F354" s="290">
        <v>8.11</v>
      </c>
      <c r="G354" s="100" t="s">
        <v>1720</v>
      </c>
    </row>
    <row r="355" spans="1:7" s="67" customFormat="1" ht="31.5">
      <c r="A355" s="98" t="s">
        <v>1721</v>
      </c>
      <c r="B355" s="98" t="s">
        <v>1721</v>
      </c>
      <c r="C355" s="98" t="s">
        <v>1721</v>
      </c>
      <c r="D355" s="96"/>
      <c r="E355" s="88"/>
      <c r="F355" s="290">
        <v>9.5920000000000005</v>
      </c>
      <c r="G355" s="100" t="s">
        <v>1720</v>
      </c>
    </row>
    <row r="356" spans="1:7" s="67" customFormat="1" ht="47.25">
      <c r="A356" s="98" t="s">
        <v>1722</v>
      </c>
      <c r="B356" s="98" t="s">
        <v>1722</v>
      </c>
      <c r="C356" s="98" t="s">
        <v>1722</v>
      </c>
      <c r="D356" s="96"/>
      <c r="E356" s="88"/>
      <c r="F356" s="290">
        <v>17.707000000000001</v>
      </c>
      <c r="G356" s="24" t="s">
        <v>1723</v>
      </c>
    </row>
    <row r="357" spans="1:7" s="67" customFormat="1" ht="31.5">
      <c r="A357" s="98" t="s">
        <v>1724</v>
      </c>
      <c r="B357" s="98" t="s">
        <v>1724</v>
      </c>
      <c r="C357" s="98" t="s">
        <v>1724</v>
      </c>
      <c r="D357" s="96"/>
      <c r="E357" s="88"/>
      <c r="F357" s="292">
        <v>60.334000000000003</v>
      </c>
      <c r="G357" s="24" t="s">
        <v>1725</v>
      </c>
    </row>
    <row r="358" spans="1:7" s="67" customFormat="1" ht="31.5">
      <c r="A358" s="98" t="s">
        <v>1726</v>
      </c>
      <c r="B358" s="98" t="s">
        <v>1726</v>
      </c>
      <c r="C358" s="98" t="s">
        <v>1726</v>
      </c>
      <c r="D358" s="96"/>
      <c r="E358" s="88"/>
      <c r="F358" s="292">
        <v>80.713999999999999</v>
      </c>
      <c r="G358" s="24" t="s">
        <v>1725</v>
      </c>
    </row>
    <row r="359" spans="1:7" s="67" customFormat="1" ht="31.5">
      <c r="A359" s="98" t="s">
        <v>1727</v>
      </c>
      <c r="B359" s="98" t="s">
        <v>1727</v>
      </c>
      <c r="C359" s="98" t="s">
        <v>1727</v>
      </c>
      <c r="D359" s="96"/>
      <c r="E359" s="88"/>
      <c r="F359" s="292">
        <v>13.224</v>
      </c>
      <c r="G359" s="24" t="s">
        <v>1725</v>
      </c>
    </row>
    <row r="360" spans="1:7" s="67" customFormat="1" ht="31.5">
      <c r="A360" s="98" t="s">
        <v>1728</v>
      </c>
      <c r="B360" s="98" t="s">
        <v>1728</v>
      </c>
      <c r="C360" s="98" t="s">
        <v>1728</v>
      </c>
      <c r="D360" s="96"/>
      <c r="E360" s="88"/>
      <c r="F360" s="292">
        <v>13.589</v>
      </c>
      <c r="G360" s="24" t="s">
        <v>1725</v>
      </c>
    </row>
    <row r="361" spans="1:7" s="67" customFormat="1" ht="31.5">
      <c r="A361" s="98" t="s">
        <v>1729</v>
      </c>
      <c r="B361" s="98" t="s">
        <v>1729</v>
      </c>
      <c r="C361" s="98" t="s">
        <v>1729</v>
      </c>
      <c r="D361" s="96"/>
      <c r="E361" s="88"/>
      <c r="F361" s="292">
        <v>56.408999999999999</v>
      </c>
      <c r="G361" s="24" t="s">
        <v>1725</v>
      </c>
    </row>
    <row r="362" spans="1:7" s="67" customFormat="1" ht="31.5">
      <c r="A362" s="98" t="s">
        <v>1730</v>
      </c>
      <c r="B362" s="98" t="s">
        <v>1730</v>
      </c>
      <c r="C362" s="98" t="s">
        <v>1730</v>
      </c>
      <c r="D362" s="96"/>
      <c r="E362" s="88"/>
      <c r="F362" s="292">
        <v>13.589</v>
      </c>
      <c r="G362" s="24" t="s">
        <v>1725</v>
      </c>
    </row>
    <row r="363" spans="1:7" s="67" customFormat="1" ht="31.5">
      <c r="A363" s="98" t="s">
        <v>1731</v>
      </c>
      <c r="B363" s="98" t="s">
        <v>1731</v>
      </c>
      <c r="C363" s="98" t="s">
        <v>1731</v>
      </c>
      <c r="D363" s="96"/>
      <c r="E363" s="88"/>
      <c r="F363" s="292">
        <v>13.44</v>
      </c>
      <c r="G363" s="24" t="s">
        <v>1725</v>
      </c>
    </row>
    <row r="364" spans="1:7" s="67" customFormat="1" ht="31.5">
      <c r="A364" s="98" t="s">
        <v>1732</v>
      </c>
      <c r="B364" s="98" t="s">
        <v>1732</v>
      </c>
      <c r="C364" s="98" t="s">
        <v>1732</v>
      </c>
      <c r="D364" s="96"/>
      <c r="E364" s="88"/>
      <c r="F364" s="292">
        <v>13.352</v>
      </c>
      <c r="G364" s="24" t="s">
        <v>1725</v>
      </c>
    </row>
    <row r="365" spans="1:7" s="67" customFormat="1" ht="31.5">
      <c r="A365" s="98" t="s">
        <v>1733</v>
      </c>
      <c r="B365" s="98" t="s">
        <v>1733</v>
      </c>
      <c r="C365" s="98" t="s">
        <v>1733</v>
      </c>
      <c r="D365" s="96"/>
      <c r="E365" s="88"/>
      <c r="F365" s="292">
        <v>26.411999999999999</v>
      </c>
      <c r="G365" s="24" t="s">
        <v>1725</v>
      </c>
    </row>
    <row r="366" spans="1:7" s="67" customFormat="1" ht="31.5">
      <c r="A366" s="98" t="s">
        <v>1734</v>
      </c>
      <c r="B366" s="98" t="s">
        <v>1734</v>
      </c>
      <c r="C366" s="98" t="s">
        <v>1734</v>
      </c>
      <c r="D366" s="96"/>
      <c r="E366" s="88"/>
      <c r="F366" s="292">
        <v>26.413</v>
      </c>
      <c r="G366" s="24" t="s">
        <v>1725</v>
      </c>
    </row>
    <row r="367" spans="1:7" s="67" customFormat="1" ht="31.5">
      <c r="A367" s="98" t="s">
        <v>1735</v>
      </c>
      <c r="B367" s="98" t="s">
        <v>1735</v>
      </c>
      <c r="C367" s="98" t="s">
        <v>1735</v>
      </c>
      <c r="D367" s="96"/>
      <c r="E367" s="88"/>
      <c r="F367" s="292">
        <v>6.9630000000000001</v>
      </c>
      <c r="G367" s="24" t="s">
        <v>1725</v>
      </c>
    </row>
    <row r="368" spans="1:7" s="67" customFormat="1" ht="31.5">
      <c r="A368" s="98" t="s">
        <v>1736</v>
      </c>
      <c r="B368" s="98" t="s">
        <v>1736</v>
      </c>
      <c r="C368" s="98" t="s">
        <v>1736</v>
      </c>
      <c r="D368" s="96"/>
      <c r="E368" s="88"/>
      <c r="F368" s="292">
        <v>11.667999999999999</v>
      </c>
      <c r="G368" s="24" t="s">
        <v>1725</v>
      </c>
    </row>
    <row r="369" spans="1:7" s="67" customFormat="1" ht="31.5">
      <c r="A369" s="98" t="s">
        <v>1737</v>
      </c>
      <c r="B369" s="98" t="s">
        <v>1737</v>
      </c>
      <c r="C369" s="98" t="s">
        <v>1737</v>
      </c>
      <c r="D369" s="96"/>
      <c r="E369" s="88"/>
      <c r="F369" s="292">
        <v>13.551</v>
      </c>
      <c r="G369" s="24" t="s">
        <v>1725</v>
      </c>
    </row>
    <row r="370" spans="1:7" s="67" customFormat="1" ht="31.5">
      <c r="A370" s="98" t="s">
        <v>1738</v>
      </c>
      <c r="B370" s="98" t="s">
        <v>1738</v>
      </c>
      <c r="C370" s="98" t="s">
        <v>1738</v>
      </c>
      <c r="D370" s="96"/>
      <c r="E370" s="88"/>
      <c r="F370" s="292">
        <v>7.5529999999999999</v>
      </c>
      <c r="G370" s="24" t="s">
        <v>1725</v>
      </c>
    </row>
    <row r="371" spans="1:7" s="67" customFormat="1" ht="31.5">
      <c r="A371" s="98" t="s">
        <v>1739</v>
      </c>
      <c r="B371" s="98" t="s">
        <v>1739</v>
      </c>
      <c r="C371" s="98" t="s">
        <v>1739</v>
      </c>
      <c r="D371" s="96"/>
      <c r="E371" s="88"/>
      <c r="F371" s="292">
        <v>11.007</v>
      </c>
      <c r="G371" s="24" t="s">
        <v>1725</v>
      </c>
    </row>
    <row r="372" spans="1:7" s="67" customFormat="1" ht="31.5">
      <c r="A372" s="98" t="s">
        <v>1740</v>
      </c>
      <c r="B372" s="98" t="s">
        <v>1740</v>
      </c>
      <c r="C372" s="98" t="s">
        <v>1740</v>
      </c>
      <c r="D372" s="96"/>
      <c r="E372" s="88"/>
      <c r="F372" s="292">
        <v>13.589</v>
      </c>
      <c r="G372" s="24" t="s">
        <v>1725</v>
      </c>
    </row>
    <row r="373" spans="1:7" s="67" customFormat="1" ht="31.5">
      <c r="A373" s="98" t="s">
        <v>1741</v>
      </c>
      <c r="B373" s="98" t="s">
        <v>1741</v>
      </c>
      <c r="C373" s="98" t="s">
        <v>1741</v>
      </c>
      <c r="D373" s="96"/>
      <c r="E373" s="88"/>
      <c r="F373" s="292">
        <v>8.5589999999999993</v>
      </c>
      <c r="G373" s="24" t="s">
        <v>1725</v>
      </c>
    </row>
    <row r="374" spans="1:7" s="67" customFormat="1" ht="31.5">
      <c r="A374" s="98" t="s">
        <v>1742</v>
      </c>
      <c r="B374" s="98" t="s">
        <v>1742</v>
      </c>
      <c r="C374" s="98" t="s">
        <v>1742</v>
      </c>
      <c r="D374" s="96"/>
      <c r="E374" s="88"/>
      <c r="F374" s="292">
        <v>11.667999999999999</v>
      </c>
      <c r="G374" s="24" t="s">
        <v>1725</v>
      </c>
    </row>
    <row r="375" spans="1:7" s="67" customFormat="1" ht="31.5">
      <c r="A375" s="98" t="s">
        <v>1743</v>
      </c>
      <c r="B375" s="98" t="s">
        <v>1743</v>
      </c>
      <c r="C375" s="98" t="s">
        <v>1743</v>
      </c>
      <c r="D375" s="96"/>
      <c r="E375" s="88"/>
      <c r="F375" s="292">
        <v>47.072000000000003</v>
      </c>
      <c r="G375" s="24" t="s">
        <v>1725</v>
      </c>
    </row>
    <row r="376" spans="1:7" s="67" customFormat="1" ht="31.5">
      <c r="A376" s="98" t="s">
        <v>1744</v>
      </c>
      <c r="B376" s="98" t="s">
        <v>1744</v>
      </c>
      <c r="C376" s="98" t="s">
        <v>1744</v>
      </c>
      <c r="D376" s="96"/>
      <c r="E376" s="88"/>
      <c r="F376" s="292">
        <v>11.667999999999999</v>
      </c>
      <c r="G376" s="24" t="s">
        <v>1725</v>
      </c>
    </row>
    <row r="377" spans="1:7" s="67" customFormat="1" ht="31.5">
      <c r="A377" s="98" t="s">
        <v>1745</v>
      </c>
      <c r="B377" s="98" t="s">
        <v>1745</v>
      </c>
      <c r="C377" s="98" t="s">
        <v>1745</v>
      </c>
      <c r="D377" s="96"/>
      <c r="E377" s="88"/>
      <c r="F377" s="292">
        <v>31.417000000000002</v>
      </c>
      <c r="G377" s="24" t="s">
        <v>1725</v>
      </c>
    </row>
    <row r="378" spans="1:7" s="67" customFormat="1" ht="31.5">
      <c r="A378" s="98" t="s">
        <v>1746</v>
      </c>
      <c r="B378" s="98" t="s">
        <v>1746</v>
      </c>
      <c r="C378" s="98" t="s">
        <v>1746</v>
      </c>
      <c r="D378" s="96"/>
      <c r="E378" s="88"/>
      <c r="F378" s="292">
        <v>25.577000000000002</v>
      </c>
      <c r="G378" s="24" t="s">
        <v>1725</v>
      </c>
    </row>
    <row r="379" spans="1:7" s="67" customFormat="1" ht="31.5">
      <c r="A379" s="98" t="s">
        <v>1747</v>
      </c>
      <c r="B379" s="98" t="s">
        <v>1747</v>
      </c>
      <c r="C379" s="98" t="s">
        <v>1747</v>
      </c>
      <c r="D379" s="96"/>
      <c r="E379" s="88"/>
      <c r="F379" s="292">
        <v>14.259</v>
      </c>
      <c r="G379" s="24" t="s">
        <v>1725</v>
      </c>
    </row>
    <row r="380" spans="1:7" s="67" customFormat="1" ht="31.5">
      <c r="A380" s="98" t="s">
        <v>1748</v>
      </c>
      <c r="B380" s="98" t="s">
        <v>1748</v>
      </c>
      <c r="C380" s="98" t="s">
        <v>1748</v>
      </c>
      <c r="D380" s="96"/>
      <c r="E380" s="88"/>
      <c r="F380" s="292">
        <v>40.584000000000003</v>
      </c>
      <c r="G380" s="24" t="s">
        <v>1725</v>
      </c>
    </row>
    <row r="381" spans="1:7" s="67" customFormat="1" ht="31.5">
      <c r="A381" s="98" t="s">
        <v>1749</v>
      </c>
      <c r="B381" s="98" t="s">
        <v>1749</v>
      </c>
      <c r="C381" s="98" t="s">
        <v>1749</v>
      </c>
      <c r="D381" s="96"/>
      <c r="E381" s="88"/>
      <c r="F381" s="292">
        <v>8.0549999999999997</v>
      </c>
      <c r="G381" s="24" t="s">
        <v>1725</v>
      </c>
    </row>
    <row r="382" spans="1:7" s="67" customFormat="1" ht="31.5">
      <c r="A382" s="98" t="s">
        <v>1750</v>
      </c>
      <c r="B382" s="98" t="s">
        <v>1750</v>
      </c>
      <c r="C382" s="98" t="s">
        <v>1750</v>
      </c>
      <c r="D382" s="96"/>
      <c r="E382" s="88"/>
      <c r="F382" s="292">
        <v>13.551</v>
      </c>
      <c r="G382" s="24" t="s">
        <v>1725</v>
      </c>
    </row>
    <row r="383" spans="1:7" s="67" customFormat="1" ht="31.5">
      <c r="A383" s="98" t="s">
        <v>1751</v>
      </c>
      <c r="B383" s="98" t="s">
        <v>1751</v>
      </c>
      <c r="C383" s="98" t="s">
        <v>1751</v>
      </c>
      <c r="D383" s="96"/>
      <c r="E383" s="88"/>
      <c r="F383" s="292">
        <v>11.007</v>
      </c>
      <c r="G383" s="24" t="s">
        <v>1725</v>
      </c>
    </row>
    <row r="384" spans="1:7" s="67" customFormat="1" ht="31.5">
      <c r="A384" s="98" t="s">
        <v>1752</v>
      </c>
      <c r="B384" s="98" t="s">
        <v>1752</v>
      </c>
      <c r="C384" s="98" t="s">
        <v>1752</v>
      </c>
      <c r="D384" s="96"/>
      <c r="E384" s="88"/>
      <c r="F384" s="292">
        <v>10.972</v>
      </c>
      <c r="G384" s="24" t="s">
        <v>1725</v>
      </c>
    </row>
    <row r="385" spans="1:7" s="67" customFormat="1" ht="31.5">
      <c r="A385" s="98" t="s">
        <v>1753</v>
      </c>
      <c r="B385" s="98" t="s">
        <v>1753</v>
      </c>
      <c r="C385" s="98" t="s">
        <v>1753</v>
      </c>
      <c r="D385" s="96"/>
      <c r="E385" s="88"/>
      <c r="F385" s="292">
        <v>11.041</v>
      </c>
      <c r="G385" s="24" t="s">
        <v>1725</v>
      </c>
    </row>
    <row r="386" spans="1:7" s="67" customFormat="1" ht="31.5">
      <c r="A386" s="98" t="s">
        <v>1754</v>
      </c>
      <c r="B386" s="98" t="s">
        <v>1754</v>
      </c>
      <c r="C386" s="98" t="s">
        <v>1754</v>
      </c>
      <c r="D386" s="96"/>
      <c r="E386" s="88"/>
      <c r="F386" s="292">
        <v>15.997999999999999</v>
      </c>
      <c r="G386" s="24" t="s">
        <v>1725</v>
      </c>
    </row>
    <row r="387" spans="1:7" s="67" customFormat="1" ht="31.5">
      <c r="A387" s="98" t="s">
        <v>1755</v>
      </c>
      <c r="B387" s="98" t="s">
        <v>1755</v>
      </c>
      <c r="C387" s="98" t="s">
        <v>1755</v>
      </c>
      <c r="D387" s="96"/>
      <c r="E387" s="88"/>
      <c r="F387" s="292">
        <v>11.66</v>
      </c>
      <c r="G387" s="24" t="s">
        <v>1725</v>
      </c>
    </row>
    <row r="388" spans="1:7" s="67" customFormat="1" ht="31.5">
      <c r="A388" s="293" t="s">
        <v>632</v>
      </c>
      <c r="B388" s="293" t="s">
        <v>632</v>
      </c>
      <c r="C388" s="293" t="s">
        <v>632</v>
      </c>
      <c r="D388" s="106"/>
      <c r="E388" s="88"/>
      <c r="F388" s="290">
        <v>689.07299999999998</v>
      </c>
      <c r="G388" s="24" t="s">
        <v>1756</v>
      </c>
    </row>
    <row r="389" spans="1:7" s="67" customFormat="1">
      <c r="A389" s="39" t="s">
        <v>608</v>
      </c>
      <c r="B389" s="39" t="s">
        <v>63</v>
      </c>
      <c r="C389" s="53"/>
      <c r="D389" s="106"/>
      <c r="E389" s="88"/>
      <c r="F389" s="107">
        <f>SUM(F142:F388)</f>
        <v>35857.62000000001</v>
      </c>
      <c r="G389" s="88"/>
    </row>
    <row r="390" spans="1:7" s="67" customFormat="1" ht="31.5">
      <c r="A390" s="108" t="s">
        <v>633</v>
      </c>
      <c r="B390" s="108" t="s">
        <v>635</v>
      </c>
      <c r="C390" s="108" t="s">
        <v>635</v>
      </c>
      <c r="D390" s="294"/>
      <c r="E390" s="88"/>
      <c r="F390" s="295">
        <v>173.67246</v>
      </c>
      <c r="G390" s="39" t="s">
        <v>634</v>
      </c>
    </row>
    <row r="391" spans="1:7" s="67" customFormat="1" ht="31.5">
      <c r="A391" s="108" t="s">
        <v>636</v>
      </c>
      <c r="B391" s="108" t="s">
        <v>636</v>
      </c>
      <c r="C391" s="108" t="s">
        <v>636</v>
      </c>
      <c r="D391" s="294"/>
      <c r="E391" s="88"/>
      <c r="F391" s="295">
        <v>677.89991999999995</v>
      </c>
      <c r="G391" s="39" t="s">
        <v>634</v>
      </c>
    </row>
    <row r="392" spans="1:7" s="67" customFormat="1" ht="47.25">
      <c r="A392" s="109" t="s">
        <v>637</v>
      </c>
      <c r="B392" s="109" t="s">
        <v>637</v>
      </c>
      <c r="C392" s="109" t="s">
        <v>637</v>
      </c>
      <c r="D392" s="294"/>
      <c r="E392" s="88"/>
      <c r="F392" s="296">
        <v>24.526319999999998</v>
      </c>
      <c r="G392" s="110" t="s">
        <v>638</v>
      </c>
    </row>
    <row r="393" spans="1:7" s="67" customFormat="1" ht="47.25">
      <c r="A393" s="109" t="s">
        <v>639</v>
      </c>
      <c r="B393" s="109" t="s">
        <v>639</v>
      </c>
      <c r="C393" s="109" t="s">
        <v>639</v>
      </c>
      <c r="D393" s="294"/>
      <c r="E393" s="88"/>
      <c r="F393" s="296">
        <v>2.1545999999999998</v>
      </c>
      <c r="G393" s="110" t="s">
        <v>638</v>
      </c>
    </row>
    <row r="394" spans="1:7" s="67" customFormat="1" ht="31.5">
      <c r="A394" s="109" t="s">
        <v>640</v>
      </c>
      <c r="B394" s="109" t="s">
        <v>640</v>
      </c>
      <c r="C394" s="109" t="s">
        <v>640</v>
      </c>
      <c r="D394" s="294"/>
      <c r="E394" s="88"/>
      <c r="F394" s="296">
        <v>1.8468</v>
      </c>
      <c r="G394" s="110" t="s">
        <v>641</v>
      </c>
    </row>
    <row r="395" spans="1:7" s="67" customFormat="1" ht="47.25">
      <c r="A395" s="109" t="s">
        <v>642</v>
      </c>
      <c r="B395" s="109" t="s">
        <v>642</v>
      </c>
      <c r="C395" s="109" t="s">
        <v>642</v>
      </c>
      <c r="D395" s="294"/>
      <c r="E395" s="88"/>
      <c r="F395" s="296">
        <v>18.193850000000001</v>
      </c>
      <c r="G395" s="110" t="s">
        <v>643</v>
      </c>
    </row>
    <row r="396" spans="1:7" s="67" customFormat="1" ht="47.25">
      <c r="A396" s="97" t="s">
        <v>1757</v>
      </c>
      <c r="B396" s="97" t="s">
        <v>1757</v>
      </c>
      <c r="C396" s="97" t="s">
        <v>1757</v>
      </c>
      <c r="D396" s="294"/>
      <c r="E396" s="88"/>
      <c r="F396" s="296">
        <v>3315.174</v>
      </c>
      <c r="G396" s="111" t="s">
        <v>1758</v>
      </c>
    </row>
    <row r="397" spans="1:7" s="67" customFormat="1">
      <c r="A397" s="39"/>
      <c r="B397" s="39" t="s">
        <v>632</v>
      </c>
      <c r="C397" s="39"/>
      <c r="D397" s="294"/>
      <c r="E397" s="88"/>
      <c r="F397" s="291">
        <v>84.671999999999997</v>
      </c>
      <c r="G397" s="297"/>
    </row>
    <row r="398" spans="1:7" s="67" customFormat="1">
      <c r="A398" s="39"/>
      <c r="B398" s="39"/>
      <c r="C398" s="39"/>
      <c r="D398" s="294"/>
      <c r="E398" s="88"/>
      <c r="F398" s="107">
        <f>SUM(F390:F397)</f>
        <v>4298.1399499999998</v>
      </c>
      <c r="G398" s="297"/>
    </row>
    <row r="399" spans="1:7" s="67" customFormat="1" ht="31.5">
      <c r="A399" s="108" t="s">
        <v>644</v>
      </c>
      <c r="B399" s="108" t="s">
        <v>644</v>
      </c>
      <c r="C399" s="108" t="s">
        <v>644</v>
      </c>
      <c r="D399" s="294"/>
      <c r="E399" s="88"/>
      <c r="F399" s="298">
        <v>68.347200000000001</v>
      </c>
      <c r="G399" s="39" t="s">
        <v>645</v>
      </c>
    </row>
    <row r="400" spans="1:7" s="67" customFormat="1" ht="31.5">
      <c r="A400" s="108" t="s">
        <v>646</v>
      </c>
      <c r="B400" s="108" t="s">
        <v>646</v>
      </c>
      <c r="C400" s="108" t="s">
        <v>646</v>
      </c>
      <c r="D400" s="294"/>
      <c r="E400" s="88"/>
      <c r="F400" s="298">
        <v>67.194000000000003</v>
      </c>
      <c r="G400" s="39" t="s">
        <v>645</v>
      </c>
    </row>
    <row r="401" spans="1:7" s="67" customFormat="1" ht="31.5">
      <c r="A401" s="109" t="s">
        <v>647</v>
      </c>
      <c r="B401" s="109" t="s">
        <v>647</v>
      </c>
      <c r="C401" s="109" t="s">
        <v>647</v>
      </c>
      <c r="D401" s="294"/>
      <c r="E401" s="88"/>
      <c r="F401" s="298">
        <v>63.338090000000001</v>
      </c>
      <c r="G401" s="110" t="s">
        <v>648</v>
      </c>
    </row>
    <row r="402" spans="1:7" s="67" customFormat="1" ht="31.5">
      <c r="A402" s="109" t="s">
        <v>1759</v>
      </c>
      <c r="B402" s="109" t="s">
        <v>1759</v>
      </c>
      <c r="C402" s="109" t="s">
        <v>1759</v>
      </c>
      <c r="D402" s="294"/>
      <c r="E402" s="88"/>
      <c r="F402" s="298">
        <v>71.534999999999997</v>
      </c>
      <c r="G402" s="110" t="s">
        <v>648</v>
      </c>
    </row>
    <row r="403" spans="1:7" s="67" customFormat="1" ht="31.5">
      <c r="A403" s="109" t="s">
        <v>1760</v>
      </c>
      <c r="B403" s="109" t="s">
        <v>1760</v>
      </c>
      <c r="C403" s="109" t="s">
        <v>1760</v>
      </c>
      <c r="D403" s="294"/>
      <c r="E403" s="88"/>
      <c r="F403" s="298">
        <v>76.075999999999993</v>
      </c>
      <c r="G403" s="110" t="s">
        <v>648</v>
      </c>
    </row>
    <row r="404" spans="1:7" s="67" customFormat="1" ht="31.5">
      <c r="A404" s="109" t="s">
        <v>1761</v>
      </c>
      <c r="B404" s="109" t="s">
        <v>1761</v>
      </c>
      <c r="C404" s="109" t="s">
        <v>1761</v>
      </c>
      <c r="D404" s="294"/>
      <c r="E404" s="88"/>
      <c r="F404" s="298">
        <v>78.113</v>
      </c>
      <c r="G404" s="110" t="s">
        <v>648</v>
      </c>
    </row>
    <row r="405" spans="1:7" s="67" customFormat="1" ht="31.5">
      <c r="A405" s="109" t="s">
        <v>1762</v>
      </c>
      <c r="B405" s="109" t="s">
        <v>1762</v>
      </c>
      <c r="C405" s="109" t="s">
        <v>1762</v>
      </c>
      <c r="D405" s="294"/>
      <c r="E405" s="88"/>
      <c r="F405" s="298">
        <v>76.222999999999999</v>
      </c>
      <c r="G405" s="110" t="s">
        <v>648</v>
      </c>
    </row>
    <row r="406" spans="1:7" s="67" customFormat="1" ht="31.5">
      <c r="A406" s="109" t="s">
        <v>1763</v>
      </c>
      <c r="B406" s="109" t="s">
        <v>1763</v>
      </c>
      <c r="C406" s="109" t="s">
        <v>1763</v>
      </c>
      <c r="D406" s="294"/>
      <c r="E406" s="88"/>
      <c r="F406" s="298">
        <v>77.387</v>
      </c>
      <c r="G406" s="110" t="s">
        <v>648</v>
      </c>
    </row>
    <row r="407" spans="1:7" s="67" customFormat="1" ht="31.5">
      <c r="A407" s="109" t="s">
        <v>1764</v>
      </c>
      <c r="B407" s="109" t="s">
        <v>1764</v>
      </c>
      <c r="C407" s="109" t="s">
        <v>1764</v>
      </c>
      <c r="D407" s="294"/>
      <c r="E407" s="88"/>
      <c r="F407" s="298">
        <v>71.307000000000002</v>
      </c>
      <c r="G407" s="39" t="s">
        <v>645</v>
      </c>
    </row>
    <row r="408" spans="1:7" s="67" customFormat="1" ht="31.5">
      <c r="A408" s="109" t="s">
        <v>1765</v>
      </c>
      <c r="B408" s="109" t="s">
        <v>1765</v>
      </c>
      <c r="C408" s="109" t="s">
        <v>1765</v>
      </c>
      <c r="D408" s="294"/>
      <c r="E408" s="88"/>
      <c r="F408" s="298">
        <v>68.984999999999999</v>
      </c>
      <c r="G408" s="39" t="s">
        <v>645</v>
      </c>
    </row>
    <row r="409" spans="1:7" s="67" customFormat="1" ht="31.5">
      <c r="A409" s="109" t="s">
        <v>1766</v>
      </c>
      <c r="B409" s="109" t="s">
        <v>1766</v>
      </c>
      <c r="C409" s="109" t="s">
        <v>1766</v>
      </c>
      <c r="D409" s="294"/>
      <c r="E409" s="88"/>
      <c r="F409" s="298">
        <v>81.11</v>
      </c>
      <c r="G409" s="39" t="s">
        <v>645</v>
      </c>
    </row>
    <row r="410" spans="1:7" s="67" customFormat="1" ht="31.5">
      <c r="A410" s="109" t="s">
        <v>1767</v>
      </c>
      <c r="B410" s="109" t="s">
        <v>1767</v>
      </c>
      <c r="C410" s="109" t="s">
        <v>1767</v>
      </c>
      <c r="D410" s="294"/>
      <c r="E410" s="88"/>
      <c r="F410" s="298">
        <v>77.659000000000006</v>
      </c>
      <c r="G410" s="39" t="s">
        <v>645</v>
      </c>
    </row>
    <row r="411" spans="1:7" s="67" customFormat="1" ht="47.25">
      <c r="A411" s="109" t="s">
        <v>649</v>
      </c>
      <c r="B411" s="109" t="s">
        <v>649</v>
      </c>
      <c r="C411" s="109" t="s">
        <v>649</v>
      </c>
      <c r="D411" s="294"/>
      <c r="E411" s="88"/>
      <c r="F411" s="298">
        <v>25.014690000000002</v>
      </c>
      <c r="G411" s="110" t="s">
        <v>650</v>
      </c>
    </row>
    <row r="412" spans="1:7" s="67" customFormat="1" ht="31.5">
      <c r="A412" s="25" t="s">
        <v>1768</v>
      </c>
      <c r="B412" s="25" t="s">
        <v>1768</v>
      </c>
      <c r="C412" s="108" t="s">
        <v>1768</v>
      </c>
      <c r="D412" s="294"/>
      <c r="E412" s="88"/>
      <c r="F412" s="299">
        <v>3.786</v>
      </c>
      <c r="G412" s="110" t="s">
        <v>648</v>
      </c>
    </row>
    <row r="413" spans="1:7" s="67" customFormat="1" ht="31.5">
      <c r="A413" s="25" t="s">
        <v>1769</v>
      </c>
      <c r="B413" s="25" t="s">
        <v>1769</v>
      </c>
      <c r="C413" s="108" t="s">
        <v>1769</v>
      </c>
      <c r="D413" s="294"/>
      <c r="E413" s="88"/>
      <c r="F413" s="299">
        <v>3.786</v>
      </c>
      <c r="G413" s="110" t="s">
        <v>648</v>
      </c>
    </row>
    <row r="414" spans="1:7" s="67" customFormat="1" ht="31.5">
      <c r="A414" s="25" t="s">
        <v>1770</v>
      </c>
      <c r="B414" s="25" t="s">
        <v>1770</v>
      </c>
      <c r="C414" s="108" t="s">
        <v>1770</v>
      </c>
      <c r="D414" s="294"/>
      <c r="E414" s="88"/>
      <c r="F414" s="299">
        <v>3.786</v>
      </c>
      <c r="G414" s="110" t="s">
        <v>648</v>
      </c>
    </row>
    <row r="415" spans="1:7" s="67" customFormat="1" ht="31.5">
      <c r="A415" s="25" t="s">
        <v>1771</v>
      </c>
      <c r="B415" s="25" t="s">
        <v>1771</v>
      </c>
      <c r="C415" s="108" t="s">
        <v>1771</v>
      </c>
      <c r="D415" s="294"/>
      <c r="E415" s="88"/>
      <c r="F415" s="299">
        <v>3.786</v>
      </c>
      <c r="G415" s="110" t="s">
        <v>648</v>
      </c>
    </row>
    <row r="416" spans="1:7" s="67" customFormat="1" ht="31.5">
      <c r="A416" s="25" t="s">
        <v>1772</v>
      </c>
      <c r="B416" s="25" t="s">
        <v>1772</v>
      </c>
      <c r="C416" s="108" t="s">
        <v>1772</v>
      </c>
      <c r="D416" s="294"/>
      <c r="E416" s="88"/>
      <c r="F416" s="299">
        <v>85.209000000000003</v>
      </c>
      <c r="G416" s="110" t="s">
        <v>648</v>
      </c>
    </row>
    <row r="417" spans="1:7" s="67" customFormat="1" ht="31.5">
      <c r="A417" s="25" t="s">
        <v>1773</v>
      </c>
      <c r="B417" s="25" t="s">
        <v>1773</v>
      </c>
      <c r="C417" s="108" t="s">
        <v>1773</v>
      </c>
      <c r="D417" s="294"/>
      <c r="E417" s="88"/>
      <c r="F417" s="299">
        <v>86.448999999999998</v>
      </c>
      <c r="G417" s="110" t="s">
        <v>648</v>
      </c>
    </row>
    <row r="418" spans="1:7" s="67" customFormat="1" ht="31.5">
      <c r="A418" s="25" t="s">
        <v>1774</v>
      </c>
      <c r="B418" s="25" t="s">
        <v>1774</v>
      </c>
      <c r="C418" s="108" t="s">
        <v>1774</v>
      </c>
      <c r="D418" s="294"/>
      <c r="E418" s="88"/>
      <c r="F418" s="299">
        <v>85.18</v>
      </c>
      <c r="G418" s="110" t="s">
        <v>648</v>
      </c>
    </row>
    <row r="419" spans="1:7" s="67" customFormat="1" ht="31.5">
      <c r="A419" s="25" t="s">
        <v>1775</v>
      </c>
      <c r="B419" s="25" t="s">
        <v>1775</v>
      </c>
      <c r="C419" s="108" t="s">
        <v>1775</v>
      </c>
      <c r="D419" s="294"/>
      <c r="E419" s="88"/>
      <c r="F419" s="299">
        <v>78.790000000000006</v>
      </c>
      <c r="G419" s="110" t="s">
        <v>648</v>
      </c>
    </row>
    <row r="420" spans="1:7" s="67" customFormat="1" ht="31.5">
      <c r="A420" s="25" t="s">
        <v>1776</v>
      </c>
      <c r="B420" s="25" t="s">
        <v>1776</v>
      </c>
      <c r="C420" s="108" t="s">
        <v>1776</v>
      </c>
      <c r="D420" s="294"/>
      <c r="E420" s="88"/>
      <c r="F420" s="299">
        <v>86.492000000000004</v>
      </c>
      <c r="G420" s="110" t="s">
        <v>648</v>
      </c>
    </row>
    <row r="421" spans="1:7" s="67" customFormat="1" ht="31.5">
      <c r="A421" s="25" t="s">
        <v>1777</v>
      </c>
      <c r="B421" s="25" t="s">
        <v>1777</v>
      </c>
      <c r="C421" s="108" t="s">
        <v>1777</v>
      </c>
      <c r="D421" s="294"/>
      <c r="E421" s="88"/>
      <c r="F421" s="299">
        <v>78.536000000000001</v>
      </c>
      <c r="G421" s="110" t="s">
        <v>648</v>
      </c>
    </row>
    <row r="422" spans="1:7" s="67" customFormat="1" ht="31.5">
      <c r="A422" s="25" t="s">
        <v>1778</v>
      </c>
      <c r="B422" s="25" t="s">
        <v>1778</v>
      </c>
      <c r="C422" s="108" t="s">
        <v>1778</v>
      </c>
      <c r="D422" s="294"/>
      <c r="E422" s="88"/>
      <c r="F422" s="299">
        <v>76.682000000000002</v>
      </c>
      <c r="G422" s="110" t="s">
        <v>648</v>
      </c>
    </row>
    <row r="423" spans="1:7" s="67" customFormat="1" ht="31.5">
      <c r="A423" s="25" t="s">
        <v>1779</v>
      </c>
      <c r="B423" s="25" t="s">
        <v>1779</v>
      </c>
      <c r="C423" s="108" t="s">
        <v>1779</v>
      </c>
      <c r="D423" s="294"/>
      <c r="E423" s="88"/>
      <c r="F423" s="299">
        <v>76.834000000000003</v>
      </c>
      <c r="G423" s="110" t="s">
        <v>648</v>
      </c>
    </row>
    <row r="424" spans="1:7" s="67" customFormat="1" ht="31.5">
      <c r="A424" s="25" t="s">
        <v>1780</v>
      </c>
      <c r="B424" s="25" t="s">
        <v>1780</v>
      </c>
      <c r="C424" s="108" t="s">
        <v>1780</v>
      </c>
      <c r="D424" s="294"/>
      <c r="E424" s="88"/>
      <c r="F424" s="299">
        <v>97.989000000000004</v>
      </c>
      <c r="G424" s="110" t="s">
        <v>648</v>
      </c>
    </row>
    <row r="425" spans="1:7" s="67" customFormat="1" ht="31.5">
      <c r="A425" s="25" t="s">
        <v>1781</v>
      </c>
      <c r="B425" s="25" t="s">
        <v>1781</v>
      </c>
      <c r="C425" s="108" t="s">
        <v>1781</v>
      </c>
      <c r="D425" s="294"/>
      <c r="E425" s="88"/>
      <c r="F425" s="299">
        <v>76.834000000000003</v>
      </c>
      <c r="G425" s="110" t="s">
        <v>648</v>
      </c>
    </row>
    <row r="426" spans="1:7" s="67" customFormat="1" ht="31.5">
      <c r="A426" s="25" t="s">
        <v>1782</v>
      </c>
      <c r="B426" s="25" t="s">
        <v>1782</v>
      </c>
      <c r="C426" s="108" t="s">
        <v>1782</v>
      </c>
      <c r="D426" s="294"/>
      <c r="E426" s="88"/>
      <c r="F426" s="299">
        <v>33.969000000000001</v>
      </c>
      <c r="G426" s="110" t="s">
        <v>648</v>
      </c>
    </row>
    <row r="427" spans="1:7" s="67" customFormat="1" ht="31.5">
      <c r="A427" s="25" t="s">
        <v>1783</v>
      </c>
      <c r="B427" s="25" t="s">
        <v>1783</v>
      </c>
      <c r="C427" s="108" t="s">
        <v>1783</v>
      </c>
      <c r="D427" s="294"/>
      <c r="E427" s="88"/>
      <c r="F427" s="299">
        <v>89.951999999999998</v>
      </c>
      <c r="G427" s="110" t="s">
        <v>648</v>
      </c>
    </row>
    <row r="428" spans="1:7" s="67" customFormat="1" ht="47.25">
      <c r="A428" s="25" t="s">
        <v>1784</v>
      </c>
      <c r="B428" s="25" t="s">
        <v>1784</v>
      </c>
      <c r="C428" s="108" t="s">
        <v>1784</v>
      </c>
      <c r="D428" s="294"/>
      <c r="E428" s="88"/>
      <c r="F428" s="299">
        <v>27.82</v>
      </c>
      <c r="G428" s="110" t="s">
        <v>648</v>
      </c>
    </row>
    <row r="429" spans="1:7" s="67" customFormat="1" ht="47.25">
      <c r="A429" s="25" t="s">
        <v>1785</v>
      </c>
      <c r="B429" s="25" t="s">
        <v>1785</v>
      </c>
      <c r="C429" s="108" t="s">
        <v>1785</v>
      </c>
      <c r="D429" s="294"/>
      <c r="E429" s="88"/>
      <c r="F429" s="299">
        <v>16.686</v>
      </c>
      <c r="G429" s="110" t="s">
        <v>648</v>
      </c>
    </row>
    <row r="430" spans="1:7" s="67" customFormat="1" ht="31.5">
      <c r="A430" s="25" t="s">
        <v>1786</v>
      </c>
      <c r="B430" s="25" t="s">
        <v>1786</v>
      </c>
      <c r="C430" s="108" t="s">
        <v>1786</v>
      </c>
      <c r="D430" s="294"/>
      <c r="E430" s="88"/>
      <c r="F430" s="299">
        <v>4.79</v>
      </c>
      <c r="G430" s="39" t="s">
        <v>645</v>
      </c>
    </row>
    <row r="431" spans="1:7" s="67" customFormat="1" ht="31.5">
      <c r="A431" s="25" t="s">
        <v>1787</v>
      </c>
      <c r="B431" s="25" t="s">
        <v>1787</v>
      </c>
      <c r="C431" s="108" t="s">
        <v>1787</v>
      </c>
      <c r="D431" s="294"/>
      <c r="E431" s="88"/>
      <c r="F431" s="299">
        <v>4.79</v>
      </c>
      <c r="G431" s="39" t="s">
        <v>645</v>
      </c>
    </row>
    <row r="432" spans="1:7" s="67" customFormat="1" ht="31.5">
      <c r="A432" s="25" t="s">
        <v>1788</v>
      </c>
      <c r="B432" s="25" t="s">
        <v>1788</v>
      </c>
      <c r="C432" s="108" t="s">
        <v>1788</v>
      </c>
      <c r="D432" s="294"/>
      <c r="E432" s="88"/>
      <c r="F432" s="299">
        <v>4.79</v>
      </c>
      <c r="G432" s="39" t="s">
        <v>645</v>
      </c>
    </row>
    <row r="433" spans="1:7" s="67" customFormat="1" ht="31.5">
      <c r="A433" s="25" t="s">
        <v>1789</v>
      </c>
      <c r="B433" s="25" t="s">
        <v>1789</v>
      </c>
      <c r="C433" s="108" t="s">
        <v>1789</v>
      </c>
      <c r="D433" s="294"/>
      <c r="E433" s="88"/>
      <c r="F433" s="299">
        <v>4.79</v>
      </c>
      <c r="G433" s="39" t="s">
        <v>645</v>
      </c>
    </row>
    <row r="434" spans="1:7" s="67" customFormat="1" ht="31.5">
      <c r="A434" s="25" t="s">
        <v>1790</v>
      </c>
      <c r="B434" s="25" t="s">
        <v>1790</v>
      </c>
      <c r="C434" s="108" t="s">
        <v>1790</v>
      </c>
      <c r="D434" s="294"/>
      <c r="E434" s="88"/>
      <c r="F434" s="299">
        <v>90.69</v>
      </c>
      <c r="G434" s="39" t="s">
        <v>645</v>
      </c>
    </row>
    <row r="435" spans="1:7" s="67" customFormat="1" ht="31.5">
      <c r="A435" s="25" t="s">
        <v>1791</v>
      </c>
      <c r="B435" s="25" t="s">
        <v>1791</v>
      </c>
      <c r="C435" s="108" t="s">
        <v>1791</v>
      </c>
      <c r="D435" s="294"/>
      <c r="E435" s="88"/>
      <c r="F435" s="299">
        <v>86.474999999999994</v>
      </c>
      <c r="G435" s="39" t="s">
        <v>645</v>
      </c>
    </row>
    <row r="436" spans="1:7" s="67" customFormat="1" ht="31.5">
      <c r="A436" s="25" t="s">
        <v>1792</v>
      </c>
      <c r="B436" s="25" t="s">
        <v>1792</v>
      </c>
      <c r="C436" s="108" t="s">
        <v>1792</v>
      </c>
      <c r="D436" s="294"/>
      <c r="E436" s="88"/>
      <c r="F436" s="299">
        <v>75.245999999999995</v>
      </c>
      <c r="G436" s="39" t="s">
        <v>645</v>
      </c>
    </row>
    <row r="437" spans="1:7" s="67" customFormat="1" ht="31.5">
      <c r="A437" s="25" t="s">
        <v>1793</v>
      </c>
      <c r="B437" s="25" t="s">
        <v>1793</v>
      </c>
      <c r="C437" s="108" t="s">
        <v>1793</v>
      </c>
      <c r="D437" s="294"/>
      <c r="E437" s="88"/>
      <c r="F437" s="299">
        <v>86.947999999999993</v>
      </c>
      <c r="G437" s="39" t="s">
        <v>645</v>
      </c>
    </row>
    <row r="438" spans="1:7" s="67" customFormat="1" ht="31.5">
      <c r="A438" s="25" t="s">
        <v>1794</v>
      </c>
      <c r="B438" s="25" t="s">
        <v>1794</v>
      </c>
      <c r="C438" s="108" t="s">
        <v>1794</v>
      </c>
      <c r="D438" s="294"/>
      <c r="E438" s="88"/>
      <c r="F438" s="299">
        <v>96.17</v>
      </c>
      <c r="G438" s="39" t="s">
        <v>645</v>
      </c>
    </row>
    <row r="439" spans="1:7" s="67" customFormat="1">
      <c r="A439" s="39"/>
      <c r="B439" s="39" t="s">
        <v>632</v>
      </c>
      <c r="C439" s="39"/>
      <c r="D439" s="294"/>
      <c r="E439" s="88"/>
      <c r="F439" s="300">
        <v>43.34384</v>
      </c>
      <c r="G439" s="297"/>
    </row>
    <row r="440" spans="1:7" s="67" customFormat="1">
      <c r="A440" s="39"/>
      <c r="B440" s="39"/>
      <c r="C440" s="39"/>
      <c r="D440" s="294"/>
      <c r="E440" s="88"/>
      <c r="F440" s="107">
        <f>SUM(F399:F439)</f>
        <v>2412.8878199999999</v>
      </c>
      <c r="G440" s="297"/>
    </row>
    <row r="441" spans="1:7" s="67" customFormat="1" ht="63">
      <c r="A441" s="108" t="s">
        <v>1795</v>
      </c>
      <c r="B441" s="108" t="s">
        <v>1795</v>
      </c>
      <c r="C441" s="108" t="s">
        <v>1795</v>
      </c>
      <c r="D441" s="112"/>
      <c r="E441" s="88"/>
      <c r="F441" s="301">
        <v>2550.1017000000002</v>
      </c>
      <c r="G441" s="39" t="s">
        <v>651</v>
      </c>
    </row>
    <row r="442" spans="1:7" s="67" customFormat="1" ht="63">
      <c r="A442" s="108" t="s">
        <v>1795</v>
      </c>
      <c r="B442" s="108" t="s">
        <v>1795</v>
      </c>
      <c r="C442" s="108" t="s">
        <v>1795</v>
      </c>
      <c r="D442" s="112"/>
      <c r="E442" s="88"/>
      <c r="F442" s="296">
        <v>1623.8920000000001</v>
      </c>
      <c r="G442" s="113" t="s">
        <v>651</v>
      </c>
    </row>
    <row r="443" spans="1:7" s="67" customFormat="1" ht="63">
      <c r="A443" s="108" t="s">
        <v>1795</v>
      </c>
      <c r="B443" s="108" t="s">
        <v>1795</v>
      </c>
      <c r="C443" s="108" t="s">
        <v>1795</v>
      </c>
      <c r="D443" s="112"/>
      <c r="E443" s="88"/>
      <c r="F443" s="296">
        <v>2102.3780000000002</v>
      </c>
      <c r="G443" s="113" t="s">
        <v>651</v>
      </c>
    </row>
    <row r="444" spans="1:7" s="67" customFormat="1" ht="63.75" thickBot="1">
      <c r="A444" s="108" t="s">
        <v>1795</v>
      </c>
      <c r="B444" s="108" t="s">
        <v>1795</v>
      </c>
      <c r="C444" s="108" t="s">
        <v>1795</v>
      </c>
      <c r="D444" s="112"/>
      <c r="E444" s="88"/>
      <c r="F444" s="296">
        <v>1576.7429999999999</v>
      </c>
      <c r="G444" s="113" t="s">
        <v>651</v>
      </c>
    </row>
    <row r="445" spans="1:7" s="67" customFormat="1" ht="63.75" thickBot="1">
      <c r="A445" s="108" t="s">
        <v>1795</v>
      </c>
      <c r="B445" s="108" t="s">
        <v>1795</v>
      </c>
      <c r="C445" s="108" t="s">
        <v>1795</v>
      </c>
      <c r="D445" s="112"/>
      <c r="E445" s="88"/>
      <c r="F445" s="302">
        <v>429.24599999999998</v>
      </c>
      <c r="G445" s="114" t="s">
        <v>1796</v>
      </c>
    </row>
    <row r="446" spans="1:7" s="67" customFormat="1">
      <c r="A446" s="39"/>
      <c r="B446" s="39"/>
      <c r="C446" s="39"/>
      <c r="D446" s="112"/>
      <c r="E446" s="88"/>
      <c r="F446" s="303">
        <f>SUM(F441:F445)</f>
        <v>8282.3606999999993</v>
      </c>
      <c r="G446" s="297"/>
    </row>
    <row r="447" spans="1:7" s="67" customFormat="1" ht="47.25">
      <c r="A447" s="108" t="s">
        <v>652</v>
      </c>
      <c r="B447" s="108" t="s">
        <v>652</v>
      </c>
      <c r="C447" s="108" t="s">
        <v>652</v>
      </c>
      <c r="D447" s="112"/>
      <c r="E447" s="88"/>
      <c r="F447" s="298">
        <v>22.74718</v>
      </c>
      <c r="G447" s="39" t="s">
        <v>653</v>
      </c>
    </row>
    <row r="448" spans="1:7" s="67" customFormat="1" ht="47.25">
      <c r="A448" s="108" t="s">
        <v>654</v>
      </c>
      <c r="B448" s="108" t="s">
        <v>654</v>
      </c>
      <c r="C448" s="108" t="s">
        <v>654</v>
      </c>
      <c r="D448" s="112"/>
      <c r="E448" s="88"/>
      <c r="F448" s="298">
        <v>16.082540000000002</v>
      </c>
      <c r="G448" s="39" t="s">
        <v>653</v>
      </c>
    </row>
    <row r="449" spans="1:7" s="67" customFormat="1" ht="47.25">
      <c r="A449" s="109" t="s">
        <v>656</v>
      </c>
      <c r="B449" s="109" t="s">
        <v>656</v>
      </c>
      <c r="C449" s="109" t="s">
        <v>656</v>
      </c>
      <c r="D449" s="112"/>
      <c r="E449" s="88"/>
      <c r="F449" s="298">
        <v>1636.4169999999999</v>
      </c>
      <c r="G449" s="110" t="s">
        <v>655</v>
      </c>
    </row>
    <row r="450" spans="1:7" s="67" customFormat="1" ht="47.25">
      <c r="A450" s="115" t="s">
        <v>1797</v>
      </c>
      <c r="B450" s="115" t="s">
        <v>1797</v>
      </c>
      <c r="C450" s="115" t="s">
        <v>1797</v>
      </c>
      <c r="D450" s="112"/>
      <c r="E450" s="88"/>
      <c r="F450" s="298">
        <v>73</v>
      </c>
      <c r="G450" s="110" t="s">
        <v>1798</v>
      </c>
    </row>
    <row r="451" spans="1:7" s="67" customFormat="1" ht="63">
      <c r="A451" s="116" t="s">
        <v>657</v>
      </c>
      <c r="B451" s="116" t="s">
        <v>657</v>
      </c>
      <c r="C451" s="116" t="s">
        <v>657</v>
      </c>
      <c r="D451" s="112"/>
      <c r="E451" s="88"/>
      <c r="F451" s="304">
        <v>1973.317</v>
      </c>
      <c r="G451" s="110" t="s">
        <v>658</v>
      </c>
    </row>
    <row r="452" spans="1:7" s="67" customFormat="1" ht="94.5">
      <c r="A452" s="115" t="s">
        <v>1799</v>
      </c>
      <c r="B452" s="115" t="s">
        <v>1799</v>
      </c>
      <c r="C452" s="115" t="s">
        <v>1799</v>
      </c>
      <c r="D452" s="112"/>
      <c r="E452" s="88"/>
      <c r="F452" s="304">
        <v>112.15600000000001</v>
      </c>
      <c r="G452" s="110" t="s">
        <v>1800</v>
      </c>
    </row>
    <row r="453" spans="1:7" s="67" customFormat="1" ht="63">
      <c r="A453" s="115" t="s">
        <v>1801</v>
      </c>
      <c r="B453" s="115" t="s">
        <v>1801</v>
      </c>
      <c r="C453" s="115" t="s">
        <v>1801</v>
      </c>
      <c r="D453" s="112"/>
      <c r="E453" s="88"/>
      <c r="F453" s="304">
        <v>7163.3209999999999</v>
      </c>
      <c r="G453" s="110" t="s">
        <v>658</v>
      </c>
    </row>
    <row r="454" spans="1:7" s="67" customFormat="1" ht="63">
      <c r="A454" s="115" t="s">
        <v>1802</v>
      </c>
      <c r="B454" s="115" t="s">
        <v>1802</v>
      </c>
      <c r="C454" s="115" t="s">
        <v>1802</v>
      </c>
      <c r="D454" s="112"/>
      <c r="E454" s="88"/>
      <c r="F454" s="304">
        <v>699.99099999999999</v>
      </c>
      <c r="G454" s="110" t="s">
        <v>658</v>
      </c>
    </row>
    <row r="455" spans="1:7" s="67" customFormat="1" ht="31.5">
      <c r="A455" s="115" t="s">
        <v>1803</v>
      </c>
      <c r="B455" s="110" t="s">
        <v>1803</v>
      </c>
      <c r="C455" s="115" t="s">
        <v>1803</v>
      </c>
      <c r="D455" s="112"/>
      <c r="E455" s="88"/>
      <c r="F455" s="304">
        <v>354.66</v>
      </c>
      <c r="G455" s="110" t="s">
        <v>1804</v>
      </c>
    </row>
    <row r="456" spans="1:7" s="67" customFormat="1" ht="31.5">
      <c r="A456" s="117" t="s">
        <v>1805</v>
      </c>
      <c r="B456" s="109" t="s">
        <v>1805</v>
      </c>
      <c r="C456" s="115" t="s">
        <v>1805</v>
      </c>
      <c r="D456" s="112"/>
      <c r="E456" s="88"/>
      <c r="F456" s="296">
        <v>340.51459999999997</v>
      </c>
      <c r="G456" s="110" t="s">
        <v>1806</v>
      </c>
    </row>
    <row r="457" spans="1:7" s="67" customFormat="1" ht="31.5">
      <c r="A457" s="115" t="s">
        <v>1807</v>
      </c>
      <c r="B457" s="110" t="s">
        <v>1807</v>
      </c>
      <c r="C457" s="115" t="s">
        <v>1807</v>
      </c>
      <c r="D457" s="112"/>
      <c r="E457" s="88"/>
      <c r="F457" s="298">
        <v>3.3349199999999999</v>
      </c>
      <c r="G457" s="110" t="s">
        <v>1808</v>
      </c>
    </row>
    <row r="458" spans="1:7" s="67" customFormat="1" ht="47.25">
      <c r="A458" s="115" t="s">
        <v>1809</v>
      </c>
      <c r="B458" s="110" t="s">
        <v>1809</v>
      </c>
      <c r="C458" s="115" t="s">
        <v>1809</v>
      </c>
      <c r="D458" s="112"/>
      <c r="E458" s="88"/>
      <c r="F458" s="296">
        <v>2.6897099999999998</v>
      </c>
      <c r="G458" s="110" t="s">
        <v>1808</v>
      </c>
    </row>
    <row r="459" spans="1:7" s="67" customFormat="1" ht="47.25">
      <c r="A459" s="115" t="s">
        <v>1810</v>
      </c>
      <c r="B459" s="110" t="s">
        <v>1810</v>
      </c>
      <c r="C459" s="115" t="s">
        <v>1810</v>
      </c>
      <c r="D459" s="112"/>
      <c r="E459" s="88"/>
      <c r="F459" s="305">
        <v>2.0926900000000002</v>
      </c>
      <c r="G459" s="110" t="s">
        <v>1808</v>
      </c>
    </row>
    <row r="460" spans="1:7" s="67" customFormat="1" ht="47.25">
      <c r="A460" s="115" t="s">
        <v>1811</v>
      </c>
      <c r="B460" s="110" t="s">
        <v>1811</v>
      </c>
      <c r="C460" s="115" t="s">
        <v>1811</v>
      </c>
      <c r="D460" s="112"/>
      <c r="E460" s="88"/>
      <c r="F460" s="304">
        <v>2.9047800000000001</v>
      </c>
      <c r="G460" s="110" t="s">
        <v>1808</v>
      </c>
    </row>
    <row r="461" spans="1:7" s="67" customFormat="1" ht="31.5">
      <c r="A461" s="115" t="s">
        <v>1812</v>
      </c>
      <c r="B461" s="110" t="s">
        <v>1812</v>
      </c>
      <c r="C461" s="115" t="s">
        <v>1812</v>
      </c>
      <c r="D461" s="112"/>
      <c r="E461" s="88"/>
      <c r="F461" s="304">
        <v>4.1952100000000003</v>
      </c>
      <c r="G461" s="110" t="s">
        <v>1808</v>
      </c>
    </row>
    <row r="462" spans="1:7" s="67" customFormat="1" ht="31.5">
      <c r="A462" s="115" t="s">
        <v>1813</v>
      </c>
      <c r="B462" s="110" t="s">
        <v>1813</v>
      </c>
      <c r="C462" s="115" t="s">
        <v>1813</v>
      </c>
      <c r="D462" s="112"/>
      <c r="E462" s="88"/>
      <c r="F462" s="305">
        <v>68.429550000000006</v>
      </c>
      <c r="G462" s="110" t="s">
        <v>611</v>
      </c>
    </row>
    <row r="463" spans="1:7" s="67" customFormat="1" ht="47.25">
      <c r="A463" s="115" t="s">
        <v>1814</v>
      </c>
      <c r="B463" s="110" t="s">
        <v>1814</v>
      </c>
      <c r="C463" s="115" t="s">
        <v>1814</v>
      </c>
      <c r="D463" s="112"/>
      <c r="E463" s="88"/>
      <c r="F463" s="305">
        <v>17.527000000000001</v>
      </c>
      <c r="G463" s="110" t="s">
        <v>1815</v>
      </c>
    </row>
    <row r="464" spans="1:7" s="67" customFormat="1" ht="47.25">
      <c r="A464" s="115" t="s">
        <v>1816</v>
      </c>
      <c r="B464" s="110" t="s">
        <v>1816</v>
      </c>
      <c r="C464" s="115" t="s">
        <v>1816</v>
      </c>
      <c r="D464" s="112"/>
      <c r="E464" s="88"/>
      <c r="F464" s="305">
        <v>11.164</v>
      </c>
      <c r="G464" s="110"/>
    </row>
    <row r="465" spans="1:7" s="67" customFormat="1" ht="47.25">
      <c r="A465" s="115" t="s">
        <v>1817</v>
      </c>
      <c r="B465" s="110" t="s">
        <v>1817</v>
      </c>
      <c r="C465" s="115" t="s">
        <v>1817</v>
      </c>
      <c r="D465" s="112"/>
      <c r="E465" s="88"/>
      <c r="F465" s="305">
        <v>22.895</v>
      </c>
      <c r="G465" s="110" t="s">
        <v>1818</v>
      </c>
    </row>
    <row r="466" spans="1:7" s="67" customFormat="1" ht="31.5">
      <c r="A466" s="115" t="s">
        <v>1819</v>
      </c>
      <c r="B466" s="110" t="s">
        <v>1819</v>
      </c>
      <c r="C466" s="115" t="s">
        <v>1819</v>
      </c>
      <c r="D466" s="112"/>
      <c r="E466" s="88"/>
      <c r="F466" s="305" t="s">
        <v>1822</v>
      </c>
      <c r="G466" s="110" t="s">
        <v>1820</v>
      </c>
    </row>
    <row r="467" spans="1:7" s="67" customFormat="1">
      <c r="A467" s="118"/>
      <c r="B467" s="110"/>
      <c r="C467" s="115"/>
      <c r="D467" s="112"/>
      <c r="E467" s="88"/>
      <c r="F467" s="107">
        <f>SUM(F447:F466)</f>
        <v>12527.439180000003</v>
      </c>
      <c r="G467" s="110"/>
    </row>
    <row r="468" spans="1:7" s="308" customFormat="1">
      <c r="A468" s="433"/>
      <c r="B468" s="434" t="s">
        <v>1481</v>
      </c>
      <c r="C468" s="433"/>
      <c r="D468" s="433"/>
      <c r="E468" s="435"/>
      <c r="F468" s="436">
        <f>+F389+F398+F440+F446+F467</f>
        <v>63378.447650000009</v>
      </c>
      <c r="G468" s="337"/>
    </row>
    <row r="469" spans="1:7" s="67" customFormat="1" ht="16.5" thickBot="1">
      <c r="A469" s="386" t="s">
        <v>15</v>
      </c>
      <c r="B469" s="386"/>
      <c r="C469" s="386"/>
      <c r="D469" s="386"/>
      <c r="E469" s="386"/>
      <c r="F469" s="386"/>
      <c r="G469" s="386"/>
    </row>
    <row r="470" spans="1:7" s="67" customFormat="1" ht="16.5" thickBot="1">
      <c r="A470" s="119"/>
      <c r="B470" s="120" t="s">
        <v>343</v>
      </c>
      <c r="C470" s="120"/>
      <c r="D470" s="121">
        <f>SUM(D471:D500)</f>
        <v>35352.132000000005</v>
      </c>
      <c r="E470" s="121"/>
      <c r="F470" s="121">
        <f t="shared" ref="F470" si="3">SUM(F471:F500)</f>
        <v>33028.378340000003</v>
      </c>
      <c r="G470" s="122"/>
    </row>
    <row r="471" spans="1:7" s="67" customFormat="1" ht="63.75" thickBot="1">
      <c r="A471" s="123" t="s">
        <v>344</v>
      </c>
      <c r="B471" s="26" t="s">
        <v>345</v>
      </c>
      <c r="C471" s="124" t="s">
        <v>343</v>
      </c>
      <c r="D471" s="28">
        <v>100</v>
      </c>
      <c r="E471" s="125"/>
      <c r="F471" s="28"/>
      <c r="G471" s="47" t="s">
        <v>1301</v>
      </c>
    </row>
    <row r="472" spans="1:7" s="67" customFormat="1" ht="63.75" thickBot="1">
      <c r="A472" s="123" t="s">
        <v>346</v>
      </c>
      <c r="B472" s="26" t="s">
        <v>347</v>
      </c>
      <c r="C472" s="124" t="s">
        <v>343</v>
      </c>
      <c r="D472" s="28">
        <f>6276.001-5359.732-916.269+100</f>
        <v>100.00000000000023</v>
      </c>
      <c r="E472" s="125"/>
      <c r="F472" s="28"/>
      <c r="G472" s="47" t="s">
        <v>1302</v>
      </c>
    </row>
    <row r="473" spans="1:7" s="67" customFormat="1" ht="111" thickBot="1">
      <c r="A473" s="123" t="s">
        <v>348</v>
      </c>
      <c r="B473" s="26" t="s">
        <v>349</v>
      </c>
      <c r="C473" s="124" t="s">
        <v>343</v>
      </c>
      <c r="D473" s="28">
        <f>5922.236-5922.236+4442.236-1442.236</f>
        <v>3000</v>
      </c>
      <c r="E473" s="125"/>
      <c r="F473" s="28">
        <f>876.36555+202.18664+955.22584+42.58774+887.44047+18.77803</f>
        <v>2982.5842699999998</v>
      </c>
      <c r="G473" s="47" t="s">
        <v>1303</v>
      </c>
    </row>
    <row r="474" spans="1:7" s="67" customFormat="1" ht="32.25" thickBot="1">
      <c r="A474" s="123" t="s">
        <v>350</v>
      </c>
      <c r="B474" s="26" t="s">
        <v>351</v>
      </c>
      <c r="C474" s="124" t="s">
        <v>343</v>
      </c>
      <c r="D474" s="28">
        <f>2932.74-2000+76.905-932.74-76.905</f>
        <v>-2.5579538487363607E-13</v>
      </c>
      <c r="E474" s="125"/>
      <c r="F474" s="28"/>
      <c r="G474" s="126" t="s">
        <v>1304</v>
      </c>
    </row>
    <row r="475" spans="1:7" s="67" customFormat="1" ht="32.25" thickBot="1">
      <c r="A475" s="123" t="s">
        <v>352</v>
      </c>
      <c r="B475" s="26" t="s">
        <v>353</v>
      </c>
      <c r="C475" s="124" t="s">
        <v>343</v>
      </c>
      <c r="D475" s="28">
        <f>6593.474-6593.474+405</f>
        <v>405</v>
      </c>
      <c r="E475" s="125"/>
      <c r="F475" s="28">
        <f>360.7584+44.2416</f>
        <v>405</v>
      </c>
      <c r="G475" s="126" t="s">
        <v>412</v>
      </c>
    </row>
    <row r="476" spans="1:7" s="67" customFormat="1" ht="126.75" thickBot="1">
      <c r="A476" s="123" t="s">
        <v>354</v>
      </c>
      <c r="B476" s="26" t="s">
        <v>355</v>
      </c>
      <c r="C476" s="127" t="s">
        <v>343</v>
      </c>
      <c r="D476" s="28">
        <f>8937.618+1514.285+134+500</f>
        <v>11085.903</v>
      </c>
      <c r="E476" s="125"/>
      <c r="F476" s="128">
        <f>2467.90449+1451.1575+751.84587+1526.81696+53.61759+1568.70903+436.68097+10.74337+36.02866+39.47911+52.54506+12.5+2558.5327+94.52089+26.19-5.43414</f>
        <v>11081.838060000002</v>
      </c>
      <c r="G476" s="47" t="s">
        <v>356</v>
      </c>
    </row>
    <row r="477" spans="1:7" s="67" customFormat="1" ht="95.25" thickBot="1">
      <c r="A477" s="123" t="s">
        <v>357</v>
      </c>
      <c r="B477" s="26" t="s">
        <v>358</v>
      </c>
      <c r="C477" s="127" t="s">
        <v>343</v>
      </c>
      <c r="D477" s="28">
        <f>11443.088-3000+250</f>
        <v>8693.0879999999997</v>
      </c>
      <c r="E477" s="125"/>
      <c r="F477" s="28">
        <f>5272.65026+3022.86292+176.05094+1.62</f>
        <v>8473.1841199999999</v>
      </c>
      <c r="G477" s="47" t="s">
        <v>1305</v>
      </c>
    </row>
    <row r="478" spans="1:7" s="67" customFormat="1" ht="79.5" thickBot="1">
      <c r="A478" s="123" t="s">
        <v>359</v>
      </c>
      <c r="B478" s="26" t="s">
        <v>360</v>
      </c>
      <c r="C478" s="124" t="s">
        <v>343</v>
      </c>
      <c r="D478" s="28">
        <v>100</v>
      </c>
      <c r="E478" s="125"/>
      <c r="F478" s="28"/>
      <c r="G478" s="47" t="s">
        <v>1823</v>
      </c>
    </row>
    <row r="479" spans="1:7" s="67" customFormat="1" ht="48" thickBot="1">
      <c r="A479" s="123" t="s">
        <v>361</v>
      </c>
      <c r="B479" s="26" t="s">
        <v>362</v>
      </c>
      <c r="C479" s="124" t="s">
        <v>343</v>
      </c>
      <c r="D479" s="28">
        <f>653.168+299.058</f>
        <v>952.226</v>
      </c>
      <c r="E479" s="125"/>
      <c r="F479" s="28">
        <f>354.9996+177.4998+325.2246+32.48809</f>
        <v>890.21208999999999</v>
      </c>
      <c r="G479" s="47" t="s">
        <v>67</v>
      </c>
    </row>
    <row r="480" spans="1:7" s="67" customFormat="1" ht="32.25" thickBot="1">
      <c r="A480" s="123" t="s">
        <v>363</v>
      </c>
      <c r="B480" s="26" t="s">
        <v>364</v>
      </c>
      <c r="C480" s="124" t="s">
        <v>343</v>
      </c>
      <c r="D480" s="28">
        <f>536.871+566.578+100</f>
        <v>1203.4490000000001</v>
      </c>
      <c r="E480" s="125"/>
      <c r="F480" s="28">
        <f>304.887+152.4435+590.3925+27</f>
        <v>1074.723</v>
      </c>
      <c r="G480" s="47" t="s">
        <v>68</v>
      </c>
    </row>
    <row r="481" spans="1:7" s="67" customFormat="1" ht="79.5" thickBot="1">
      <c r="A481" s="123" t="s">
        <v>365</v>
      </c>
      <c r="B481" s="26" t="s">
        <v>366</v>
      </c>
      <c r="C481" s="124" t="s">
        <v>343</v>
      </c>
      <c r="D481" s="28">
        <f>548.69+414.821+100</f>
        <v>1063.511</v>
      </c>
      <c r="E481" s="125"/>
      <c r="F481" s="28">
        <f>305.157+152.5785+465.68014</f>
        <v>923.41563999999994</v>
      </c>
      <c r="G481" s="47" t="s">
        <v>1306</v>
      </c>
    </row>
    <row r="482" spans="1:7" s="67" customFormat="1" ht="32.25" thickBot="1">
      <c r="A482" s="123" t="s">
        <v>367</v>
      </c>
      <c r="B482" s="26" t="s">
        <v>368</v>
      </c>
      <c r="C482" s="124" t="s">
        <v>343</v>
      </c>
      <c r="D482" s="28">
        <f>526.511+524.404</f>
        <v>1050.915</v>
      </c>
      <c r="E482" s="125"/>
      <c r="F482" s="28">
        <f>315.9066+157.9533+550.0551+27</f>
        <v>1050.915</v>
      </c>
      <c r="G482" s="47" t="s">
        <v>67</v>
      </c>
    </row>
    <row r="483" spans="1:7" s="67" customFormat="1" ht="32.25" thickBot="1">
      <c r="A483" s="123" t="s">
        <v>369</v>
      </c>
      <c r="B483" s="26" t="s">
        <v>370</v>
      </c>
      <c r="C483" s="124" t="s">
        <v>343</v>
      </c>
      <c r="D483" s="28">
        <f>509.896+300+100</f>
        <v>909.89599999999996</v>
      </c>
      <c r="E483" s="125"/>
      <c r="F483" s="28">
        <f>305.937+142.1196+361.8384</f>
        <v>809.89499999999998</v>
      </c>
      <c r="G483" s="47" t="s">
        <v>70</v>
      </c>
    </row>
    <row r="484" spans="1:7" s="67" customFormat="1" ht="32.25" thickBot="1">
      <c r="A484" s="123" t="s">
        <v>371</v>
      </c>
      <c r="B484" s="26" t="s">
        <v>372</v>
      </c>
      <c r="C484" s="124" t="s">
        <v>343</v>
      </c>
      <c r="D484" s="28">
        <f>703.899+809.166</f>
        <v>1513.0650000000001</v>
      </c>
      <c r="E484" s="125"/>
      <c r="F484" s="28">
        <f>422.33812+1005.86188+61.8</f>
        <v>1490</v>
      </c>
      <c r="G484" s="47" t="s">
        <v>67</v>
      </c>
    </row>
    <row r="485" spans="1:7" s="67" customFormat="1" ht="48" thickBot="1">
      <c r="A485" s="123" t="s">
        <v>373</v>
      </c>
      <c r="B485" s="26" t="s">
        <v>374</v>
      </c>
      <c r="C485" s="124" t="s">
        <v>343</v>
      </c>
      <c r="D485" s="28">
        <f>403.285+1032.238</f>
        <v>1435.5230000000001</v>
      </c>
      <c r="E485" s="125"/>
      <c r="F485" s="28">
        <f>241.971+120.9855+1011.9635+60.603</f>
        <v>1435.5230000000001</v>
      </c>
      <c r="G485" s="47" t="s">
        <v>69</v>
      </c>
    </row>
    <row r="486" spans="1:7" s="67" customFormat="1" ht="32.25" thickBot="1">
      <c r="A486" s="123" t="s">
        <v>375</v>
      </c>
      <c r="B486" s="26" t="s">
        <v>376</v>
      </c>
      <c r="C486" s="124" t="s">
        <v>343</v>
      </c>
      <c r="D486" s="28">
        <v>516.15</v>
      </c>
      <c r="E486" s="125"/>
      <c r="F486" s="28">
        <f>129.3708+129.3708+172.4944</f>
        <v>431.23599999999999</v>
      </c>
      <c r="G486" s="47" t="s">
        <v>560</v>
      </c>
    </row>
    <row r="487" spans="1:7" s="67" customFormat="1" ht="63.75" thickBot="1">
      <c r="A487" s="123" t="s">
        <v>377</v>
      </c>
      <c r="B487" s="26" t="s">
        <v>378</v>
      </c>
      <c r="C487" s="124" t="s">
        <v>343</v>
      </c>
      <c r="D487" s="28">
        <f>486.269+729.277</f>
        <v>1215.546</v>
      </c>
      <c r="E487" s="125"/>
      <c r="F487" s="28">
        <f>291.7614+145.8807+745.94774</f>
        <v>1183.5898399999999</v>
      </c>
      <c r="G487" s="47" t="s">
        <v>1307</v>
      </c>
    </row>
    <row r="488" spans="1:7" s="67" customFormat="1" ht="63.75" thickBot="1">
      <c r="A488" s="123" t="s">
        <v>379</v>
      </c>
      <c r="B488" s="26" t="s">
        <v>380</v>
      </c>
      <c r="C488" s="124" t="s">
        <v>343</v>
      </c>
      <c r="D488" s="28">
        <f>141.992+100</f>
        <v>241.99199999999999</v>
      </c>
      <c r="E488" s="125"/>
      <c r="F488" s="28">
        <f>79.89524+28.88748</f>
        <v>108.78272</v>
      </c>
      <c r="G488" s="47" t="s">
        <v>1308</v>
      </c>
    </row>
    <row r="489" spans="1:7" s="67" customFormat="1" ht="48" thickBot="1">
      <c r="A489" s="123" t="s">
        <v>381</v>
      </c>
      <c r="B489" s="26" t="s">
        <v>382</v>
      </c>
      <c r="C489" s="124" t="s">
        <v>343</v>
      </c>
      <c r="D489" s="28">
        <f>5359.732-2359.732-1200-1000-534.051</f>
        <v>265.94899999999996</v>
      </c>
      <c r="E489" s="125"/>
      <c r="F489" s="28"/>
      <c r="G489" s="47" t="s">
        <v>383</v>
      </c>
    </row>
    <row r="490" spans="1:7" s="67" customFormat="1" ht="95.25" thickBot="1">
      <c r="A490" s="123" t="s">
        <v>384</v>
      </c>
      <c r="B490" s="26" t="s">
        <v>385</v>
      </c>
      <c r="C490" s="124" t="s">
        <v>343</v>
      </c>
      <c r="D490" s="28">
        <f>414.7+325.219</f>
        <v>739.91899999999998</v>
      </c>
      <c r="E490" s="125"/>
      <c r="F490" s="28">
        <f>384.6996+302.78</f>
        <v>687.47959999999989</v>
      </c>
      <c r="G490" s="47" t="s">
        <v>1309</v>
      </c>
    </row>
    <row r="491" spans="1:7" s="67" customFormat="1" ht="63.75" thickBot="1">
      <c r="A491" s="123" t="s">
        <v>386</v>
      </c>
      <c r="B491" s="26" t="s">
        <v>387</v>
      </c>
      <c r="C491" s="124" t="s">
        <v>343</v>
      </c>
      <c r="D491" s="28">
        <v>0</v>
      </c>
      <c r="E491" s="125"/>
      <c r="F491" s="28"/>
      <c r="G491" s="47" t="s">
        <v>1824</v>
      </c>
    </row>
    <row r="492" spans="1:7" s="67" customFormat="1" ht="63.75" thickBot="1">
      <c r="A492" s="123" t="s">
        <v>388</v>
      </c>
      <c r="B492" s="26" t="s">
        <v>389</v>
      </c>
      <c r="C492" s="124" t="s">
        <v>343</v>
      </c>
      <c r="D492" s="28">
        <v>0</v>
      </c>
      <c r="E492" s="125"/>
      <c r="F492" s="28"/>
      <c r="G492" s="47" t="s">
        <v>1310</v>
      </c>
    </row>
    <row r="493" spans="1:7" s="67" customFormat="1" ht="32.25" thickBot="1">
      <c r="A493" s="123" t="s">
        <v>390</v>
      </c>
      <c r="B493" s="26" t="s">
        <v>391</v>
      </c>
      <c r="C493" s="124" t="s">
        <v>343</v>
      </c>
      <c r="D493" s="28">
        <v>0</v>
      </c>
      <c r="E493" s="125"/>
      <c r="F493" s="28"/>
      <c r="G493" s="47" t="s">
        <v>1304</v>
      </c>
    </row>
    <row r="494" spans="1:7" s="67" customFormat="1" ht="32.25" thickBot="1">
      <c r="A494" s="123" t="s">
        <v>392</v>
      </c>
      <c r="B494" s="26" t="s">
        <v>393</v>
      </c>
      <c r="C494" s="124" t="s">
        <v>343</v>
      </c>
      <c r="D494" s="28">
        <v>100</v>
      </c>
      <c r="E494" s="125"/>
      <c r="F494" s="28"/>
      <c r="G494" s="47" t="s">
        <v>560</v>
      </c>
    </row>
    <row r="495" spans="1:7" s="67" customFormat="1" ht="48" thickBot="1">
      <c r="A495" s="123" t="s">
        <v>394</v>
      </c>
      <c r="B495" s="26" t="s">
        <v>395</v>
      </c>
      <c r="C495" s="124" t="s">
        <v>343</v>
      </c>
      <c r="D495" s="28">
        <v>100</v>
      </c>
      <c r="E495" s="125"/>
      <c r="F495" s="28"/>
      <c r="G495" s="47" t="s">
        <v>1311</v>
      </c>
    </row>
    <row r="496" spans="1:7" s="67" customFormat="1" ht="48" thickBot="1">
      <c r="A496" s="123" t="s">
        <v>396</v>
      </c>
      <c r="B496" s="26" t="s">
        <v>397</v>
      </c>
      <c r="C496" s="124" t="s">
        <v>343</v>
      </c>
      <c r="D496" s="28">
        <v>0</v>
      </c>
      <c r="E496" s="125"/>
      <c r="F496" s="28"/>
      <c r="G496" s="47" t="s">
        <v>412</v>
      </c>
    </row>
    <row r="497" spans="1:7" s="67" customFormat="1" ht="48" thickBot="1">
      <c r="A497" s="123" t="s">
        <v>398</v>
      </c>
      <c r="B497" s="26" t="s">
        <v>399</v>
      </c>
      <c r="C497" s="124" t="s">
        <v>343</v>
      </c>
      <c r="D497" s="28">
        <v>0</v>
      </c>
      <c r="E497" s="125"/>
      <c r="F497" s="28"/>
      <c r="G497" s="47" t="s">
        <v>1312</v>
      </c>
    </row>
    <row r="498" spans="1:7" s="67" customFormat="1" ht="48" thickBot="1">
      <c r="A498" s="123" t="s">
        <v>400</v>
      </c>
      <c r="B498" s="26" t="s">
        <v>401</v>
      </c>
      <c r="C498" s="124" t="s">
        <v>343</v>
      </c>
      <c r="D498" s="28">
        <v>0</v>
      </c>
      <c r="E498" s="125"/>
      <c r="F498" s="28"/>
      <c r="G498" s="47" t="s">
        <v>1311</v>
      </c>
    </row>
    <row r="499" spans="1:7" s="67" customFormat="1" ht="63.75" thickBot="1">
      <c r="A499" s="123" t="s">
        <v>402</v>
      </c>
      <c r="B499" s="26" t="s">
        <v>403</v>
      </c>
      <c r="C499" s="124" t="s">
        <v>343</v>
      </c>
      <c r="D499" s="28">
        <v>100</v>
      </c>
      <c r="E499" s="125"/>
      <c r="F499" s="28"/>
      <c r="G499" s="47" t="s">
        <v>1313</v>
      </c>
    </row>
    <row r="500" spans="1:7" s="67" customFormat="1" ht="79.5" thickBot="1">
      <c r="A500" s="123" t="s">
        <v>404</v>
      </c>
      <c r="B500" s="26" t="s">
        <v>405</v>
      </c>
      <c r="C500" s="124" t="s">
        <v>343</v>
      </c>
      <c r="D500" s="28">
        <f>360+100</f>
        <v>460</v>
      </c>
      <c r="E500" s="125"/>
      <c r="F500" s="28"/>
      <c r="G500" s="47" t="s">
        <v>1314</v>
      </c>
    </row>
    <row r="501" spans="1:7" s="67" customFormat="1" ht="32.25" thickBot="1">
      <c r="A501" s="129"/>
      <c r="B501" s="129" t="s">
        <v>406</v>
      </c>
      <c r="C501" s="129"/>
      <c r="D501" s="121">
        <f>SUM(D502:D638)</f>
        <v>30315.547999999973</v>
      </c>
      <c r="E501" s="130">
        <f t="shared" ref="E501:F501" si="4">SUM(E502:E638)</f>
        <v>0</v>
      </c>
      <c r="F501" s="121">
        <f t="shared" si="4"/>
        <v>22272.19314000001</v>
      </c>
      <c r="G501" s="122"/>
    </row>
    <row r="502" spans="1:7" s="67" customFormat="1" ht="48" thickBot="1">
      <c r="A502" s="123" t="s">
        <v>407</v>
      </c>
      <c r="B502" s="127" t="s">
        <v>408</v>
      </c>
      <c r="C502" s="127" t="s">
        <v>406</v>
      </c>
      <c r="D502" s="131">
        <v>223.64099999999999</v>
      </c>
      <c r="E502" s="125"/>
      <c r="F502" s="131">
        <v>213.81</v>
      </c>
      <c r="G502" s="132" t="s">
        <v>409</v>
      </c>
    </row>
    <row r="503" spans="1:7" s="67" customFormat="1" ht="32.25" thickBot="1">
      <c r="A503" s="123" t="s">
        <v>410</v>
      </c>
      <c r="B503" s="127" t="s">
        <v>411</v>
      </c>
      <c r="C503" s="127" t="s">
        <v>406</v>
      </c>
      <c r="D503" s="131">
        <v>468.76400000000001</v>
      </c>
      <c r="E503" s="125"/>
      <c r="F503" s="131">
        <v>303.37400000000002</v>
      </c>
      <c r="G503" s="132" t="s">
        <v>412</v>
      </c>
    </row>
    <row r="504" spans="1:7" s="67" customFormat="1" ht="32.25" thickBot="1">
      <c r="A504" s="123" t="s">
        <v>413</v>
      </c>
      <c r="B504" s="127" t="s">
        <v>414</v>
      </c>
      <c r="C504" s="127" t="s">
        <v>406</v>
      </c>
      <c r="D504" s="131">
        <v>484.03100000000001</v>
      </c>
      <c r="E504" s="125"/>
      <c r="F504" s="131">
        <v>309.447</v>
      </c>
      <c r="G504" s="132" t="s">
        <v>412</v>
      </c>
    </row>
    <row r="505" spans="1:7" s="67" customFormat="1" ht="32.25" thickBot="1">
      <c r="A505" s="123" t="s">
        <v>415</v>
      </c>
      <c r="B505" s="127" t="s">
        <v>416</v>
      </c>
      <c r="C505" s="127" t="s">
        <v>406</v>
      </c>
      <c r="D505" s="131">
        <v>492.346</v>
      </c>
      <c r="E505" s="125"/>
      <c r="F505" s="131">
        <v>316.77499999999998</v>
      </c>
      <c r="G505" s="132" t="s">
        <v>412</v>
      </c>
    </row>
    <row r="506" spans="1:7" s="67" customFormat="1" ht="48" thickBot="1">
      <c r="A506" s="123" t="s">
        <v>417</v>
      </c>
      <c r="B506" s="127" t="s">
        <v>418</v>
      </c>
      <c r="C506" s="127" t="s">
        <v>406</v>
      </c>
      <c r="D506" s="131">
        <v>215.02099999999999</v>
      </c>
      <c r="E506" s="125"/>
      <c r="F506" s="131">
        <v>215.02</v>
      </c>
      <c r="G506" s="132" t="s">
        <v>419</v>
      </c>
    </row>
    <row r="507" spans="1:7" s="67" customFormat="1" ht="48" thickBot="1">
      <c r="A507" s="123" t="s">
        <v>420</v>
      </c>
      <c r="B507" s="127" t="s">
        <v>421</v>
      </c>
      <c r="C507" s="127" t="s">
        <v>406</v>
      </c>
      <c r="D507" s="131">
        <v>211.08199999999999</v>
      </c>
      <c r="E507" s="133"/>
      <c r="F507" s="134">
        <v>211.08099999999999</v>
      </c>
      <c r="G507" s="132" t="s">
        <v>422</v>
      </c>
    </row>
    <row r="508" spans="1:7" s="67" customFormat="1" ht="48" thickBot="1">
      <c r="A508" s="123" t="s">
        <v>423</v>
      </c>
      <c r="B508" s="127" t="s">
        <v>424</v>
      </c>
      <c r="C508" s="127" t="s">
        <v>406</v>
      </c>
      <c r="D508" s="131">
        <v>213.19200000000001</v>
      </c>
      <c r="E508" s="125"/>
      <c r="F508" s="131">
        <v>213.191</v>
      </c>
      <c r="G508" s="132" t="s">
        <v>419</v>
      </c>
    </row>
    <row r="509" spans="1:7" s="67" customFormat="1" ht="79.5" thickBot="1">
      <c r="A509" s="123" t="s">
        <v>425</v>
      </c>
      <c r="B509" s="127" t="s">
        <v>426</v>
      </c>
      <c r="C509" s="127" t="s">
        <v>406</v>
      </c>
      <c r="D509" s="131">
        <v>729.46699999999998</v>
      </c>
      <c r="E509" s="125"/>
      <c r="F509" s="131">
        <v>634.66499999999996</v>
      </c>
      <c r="G509" s="132" t="s">
        <v>1315</v>
      </c>
    </row>
    <row r="510" spans="1:7" s="67" customFormat="1" ht="32.25" thickBot="1">
      <c r="A510" s="123" t="s">
        <v>427</v>
      </c>
      <c r="B510" s="127" t="s">
        <v>428</v>
      </c>
      <c r="C510" s="127" t="s">
        <v>406</v>
      </c>
      <c r="D510" s="131">
        <v>492.37400000000002</v>
      </c>
      <c r="E510" s="125"/>
      <c r="F510" s="131">
        <v>381.62</v>
      </c>
      <c r="G510" s="132" t="s">
        <v>412</v>
      </c>
    </row>
    <row r="511" spans="1:7" s="67" customFormat="1" ht="32.25" thickBot="1">
      <c r="A511" s="123" t="s">
        <v>429</v>
      </c>
      <c r="B511" s="127" t="s">
        <v>430</v>
      </c>
      <c r="C511" s="127" t="s">
        <v>406</v>
      </c>
      <c r="D511" s="131">
        <v>492.37400000000002</v>
      </c>
      <c r="E511" s="125"/>
      <c r="F511" s="131">
        <v>305.964</v>
      </c>
      <c r="G511" s="132" t="s">
        <v>412</v>
      </c>
    </row>
    <row r="512" spans="1:7" s="67" customFormat="1" ht="48" thickBot="1">
      <c r="A512" s="123" t="s">
        <v>431</v>
      </c>
      <c r="B512" s="127" t="s">
        <v>432</v>
      </c>
      <c r="C512" s="127" t="s">
        <v>406</v>
      </c>
      <c r="D512" s="131">
        <v>257.839</v>
      </c>
      <c r="E512" s="125"/>
      <c r="F512" s="131">
        <v>257.83800000000002</v>
      </c>
      <c r="G512" s="132" t="s">
        <v>419</v>
      </c>
    </row>
    <row r="513" spans="1:7" s="67" customFormat="1" ht="48" thickBot="1">
      <c r="A513" s="123" t="s">
        <v>433</v>
      </c>
      <c r="B513" s="127" t="s">
        <v>434</v>
      </c>
      <c r="C513" s="127" t="s">
        <v>406</v>
      </c>
      <c r="D513" s="131">
        <v>149.48699999999999</v>
      </c>
      <c r="E513" s="125"/>
      <c r="F513" s="131">
        <v>148.977</v>
      </c>
      <c r="G513" s="132" t="s">
        <v>419</v>
      </c>
    </row>
    <row r="514" spans="1:7" s="67" customFormat="1" ht="48" thickBot="1">
      <c r="A514" s="123" t="s">
        <v>435</v>
      </c>
      <c r="B514" s="127" t="s">
        <v>436</v>
      </c>
      <c r="C514" s="127" t="s">
        <v>406</v>
      </c>
      <c r="D514" s="131">
        <v>177.929</v>
      </c>
      <c r="E514" s="133"/>
      <c r="F514" s="134">
        <v>177.928</v>
      </c>
      <c r="G514" s="132" t="s">
        <v>422</v>
      </c>
    </row>
    <row r="515" spans="1:7" s="67" customFormat="1" ht="32.25" thickBot="1">
      <c r="A515" s="123" t="s">
        <v>437</v>
      </c>
      <c r="B515" s="127" t="s">
        <v>438</v>
      </c>
      <c r="C515" s="127" t="s">
        <v>406</v>
      </c>
      <c r="D515" s="131">
        <v>216.32</v>
      </c>
      <c r="E515" s="125"/>
      <c r="F515" s="135">
        <v>150.14099999999999</v>
      </c>
      <c r="G515" s="132" t="s">
        <v>412</v>
      </c>
    </row>
    <row r="516" spans="1:7" s="67" customFormat="1" ht="79.5" thickBot="1">
      <c r="A516" s="123" t="s">
        <v>439</v>
      </c>
      <c r="B516" s="127" t="s">
        <v>440</v>
      </c>
      <c r="C516" s="127" t="s">
        <v>406</v>
      </c>
      <c r="D516" s="131">
        <v>575.48299999999995</v>
      </c>
      <c r="E516" s="125"/>
      <c r="F516" s="131">
        <v>524.91600000000005</v>
      </c>
      <c r="G516" s="132" t="s">
        <v>1315</v>
      </c>
    </row>
    <row r="517" spans="1:7" s="67" customFormat="1" ht="32.25" thickBot="1">
      <c r="A517" s="123" t="s">
        <v>441</v>
      </c>
      <c r="B517" s="127" t="s">
        <v>442</v>
      </c>
      <c r="C517" s="127" t="s">
        <v>406</v>
      </c>
      <c r="D517" s="131">
        <v>743.13</v>
      </c>
      <c r="E517" s="125"/>
      <c r="F517" s="131">
        <v>468.78699999999998</v>
      </c>
      <c r="G517" s="132" t="s">
        <v>412</v>
      </c>
    </row>
    <row r="518" spans="1:7" s="67" customFormat="1" ht="32.25" thickBot="1">
      <c r="A518" s="123" t="s">
        <v>443</v>
      </c>
      <c r="B518" s="127" t="s">
        <v>444</v>
      </c>
      <c r="C518" s="127" t="s">
        <v>406</v>
      </c>
      <c r="D518" s="131">
        <v>491.77100000000002</v>
      </c>
      <c r="E518" s="125"/>
      <c r="F518" s="131">
        <v>380.29300000000001</v>
      </c>
      <c r="G518" s="132" t="s">
        <v>412</v>
      </c>
    </row>
    <row r="519" spans="1:7" s="67" customFormat="1" ht="32.25" thickBot="1">
      <c r="A519" s="123" t="s">
        <v>437</v>
      </c>
      <c r="B519" s="136" t="s">
        <v>445</v>
      </c>
      <c r="C519" s="127" t="s">
        <v>406</v>
      </c>
      <c r="D519" s="131">
        <v>485.10700000000003</v>
      </c>
      <c r="E519" s="137"/>
      <c r="F519" s="138">
        <v>381.35899999999998</v>
      </c>
      <c r="G519" s="136" t="s">
        <v>412</v>
      </c>
    </row>
    <row r="520" spans="1:7" s="67" customFormat="1" ht="32.25" thickBot="1">
      <c r="A520" s="123" t="s">
        <v>446</v>
      </c>
      <c r="B520" s="127" t="s">
        <v>447</v>
      </c>
      <c r="C520" s="127" t="s">
        <v>406</v>
      </c>
      <c r="D520" s="131">
        <v>492.70800000000003</v>
      </c>
      <c r="E520" s="125"/>
      <c r="F520" s="131">
        <v>376.52199999999999</v>
      </c>
      <c r="G520" s="132" t="s">
        <v>412</v>
      </c>
    </row>
    <row r="521" spans="1:7" s="67" customFormat="1" ht="32.25" thickBot="1">
      <c r="A521" s="123" t="s">
        <v>448</v>
      </c>
      <c r="B521" s="127" t="s">
        <v>449</v>
      </c>
      <c r="C521" s="127" t="s">
        <v>406</v>
      </c>
      <c r="D521" s="131">
        <v>493.04899999999998</v>
      </c>
      <c r="E521" s="125"/>
      <c r="F521" s="131">
        <v>309.56</v>
      </c>
      <c r="G521" s="132" t="s">
        <v>412</v>
      </c>
    </row>
    <row r="522" spans="1:7" s="67" customFormat="1" ht="32.25" thickBot="1">
      <c r="A522" s="123" t="s">
        <v>450</v>
      </c>
      <c r="B522" s="127" t="s">
        <v>451</v>
      </c>
      <c r="C522" s="127" t="s">
        <v>406</v>
      </c>
      <c r="D522" s="131">
        <v>673.255</v>
      </c>
      <c r="E522" s="125"/>
      <c r="F522" s="131">
        <v>422.82799999999997</v>
      </c>
      <c r="G522" s="132" t="s">
        <v>412</v>
      </c>
    </row>
    <row r="523" spans="1:7" s="67" customFormat="1" ht="32.25" thickBot="1">
      <c r="A523" s="123" t="s">
        <v>452</v>
      </c>
      <c r="B523" s="127" t="s">
        <v>453</v>
      </c>
      <c r="C523" s="127" t="s">
        <v>406</v>
      </c>
      <c r="D523" s="131">
        <v>446.38200000000001</v>
      </c>
      <c r="E523" s="125"/>
      <c r="F523" s="131">
        <v>287.71699999999998</v>
      </c>
      <c r="G523" s="132" t="s">
        <v>412</v>
      </c>
    </row>
    <row r="524" spans="1:7" s="67" customFormat="1" ht="48" thickBot="1">
      <c r="A524" s="123" t="s">
        <v>454</v>
      </c>
      <c r="B524" s="127" t="s">
        <v>455</v>
      </c>
      <c r="C524" s="127" t="s">
        <v>406</v>
      </c>
      <c r="D524" s="131">
        <v>214.655</v>
      </c>
      <c r="E524" s="125"/>
      <c r="F524" s="131">
        <v>214.654</v>
      </c>
      <c r="G524" s="132" t="s">
        <v>419</v>
      </c>
    </row>
    <row r="525" spans="1:7" s="67" customFormat="1" ht="32.25" thickBot="1">
      <c r="A525" s="123" t="s">
        <v>456</v>
      </c>
      <c r="B525" s="127" t="s">
        <v>457</v>
      </c>
      <c r="C525" s="127" t="s">
        <v>406</v>
      </c>
      <c r="D525" s="131">
        <v>485.935</v>
      </c>
      <c r="E525" s="125"/>
      <c r="F525" s="131">
        <v>306.86900000000003</v>
      </c>
      <c r="G525" s="132" t="s">
        <v>412</v>
      </c>
    </row>
    <row r="526" spans="1:7" s="67" customFormat="1" ht="48" thickBot="1">
      <c r="A526" s="123" t="s">
        <v>458</v>
      </c>
      <c r="B526" s="127" t="s">
        <v>459</v>
      </c>
      <c r="C526" s="127" t="s">
        <v>406</v>
      </c>
      <c r="D526" s="131">
        <v>215.71100000000001</v>
      </c>
      <c r="E526" s="125"/>
      <c r="F526" s="131">
        <v>215.71100000000001</v>
      </c>
      <c r="G526" s="132" t="s">
        <v>419</v>
      </c>
    </row>
    <row r="527" spans="1:7" s="67" customFormat="1" ht="32.25" thickBot="1">
      <c r="A527" s="123" t="s">
        <v>460</v>
      </c>
      <c r="B527" s="127" t="s">
        <v>461</v>
      </c>
      <c r="C527" s="127" t="s">
        <v>406</v>
      </c>
      <c r="D527" s="131">
        <v>314.87200000000001</v>
      </c>
      <c r="E527" s="125"/>
      <c r="F527" s="131">
        <v>185.268</v>
      </c>
      <c r="G527" s="132" t="s">
        <v>412</v>
      </c>
    </row>
    <row r="528" spans="1:7" s="67" customFormat="1" ht="32.25" thickBot="1">
      <c r="A528" s="123" t="s">
        <v>462</v>
      </c>
      <c r="B528" s="139" t="s">
        <v>463</v>
      </c>
      <c r="C528" s="127" t="s">
        <v>406</v>
      </c>
      <c r="D528" s="131">
        <v>492.45600000000002</v>
      </c>
      <c r="E528" s="125"/>
      <c r="F528" s="131">
        <v>369.80799999999999</v>
      </c>
      <c r="G528" s="132" t="s">
        <v>412</v>
      </c>
    </row>
    <row r="529" spans="1:7" s="67" customFormat="1" ht="79.5" thickBot="1">
      <c r="A529" s="123" t="s">
        <v>464</v>
      </c>
      <c r="B529" s="127" t="s">
        <v>465</v>
      </c>
      <c r="C529" s="127" t="s">
        <v>406</v>
      </c>
      <c r="D529" s="131">
        <v>431.75799999999998</v>
      </c>
      <c r="E529" s="125"/>
      <c r="F529" s="131">
        <v>389.75400000000002</v>
      </c>
      <c r="G529" s="132" t="s">
        <v>1315</v>
      </c>
    </row>
    <row r="530" spans="1:7" s="67" customFormat="1" ht="79.5" thickBot="1">
      <c r="A530" s="123" t="s">
        <v>466</v>
      </c>
      <c r="B530" s="127" t="s">
        <v>467</v>
      </c>
      <c r="C530" s="127" t="s">
        <v>406</v>
      </c>
      <c r="D530" s="131">
        <v>449.41300000000001</v>
      </c>
      <c r="E530" s="125"/>
      <c r="F530" s="131">
        <v>397.21</v>
      </c>
      <c r="G530" s="132" t="s">
        <v>1315</v>
      </c>
    </row>
    <row r="531" spans="1:7" s="67" customFormat="1" ht="48" thickBot="1">
      <c r="A531" s="123" t="s">
        <v>468</v>
      </c>
      <c r="B531" s="127" t="s">
        <v>469</v>
      </c>
      <c r="C531" s="127" t="s">
        <v>406</v>
      </c>
      <c r="D531" s="131">
        <v>179.67400000000001</v>
      </c>
      <c r="E531" s="125"/>
      <c r="F531" s="131">
        <v>177.51599999999999</v>
      </c>
      <c r="G531" s="132" t="s">
        <v>419</v>
      </c>
    </row>
    <row r="532" spans="1:7" s="67" customFormat="1" ht="48" thickBot="1">
      <c r="A532" s="123" t="s">
        <v>470</v>
      </c>
      <c r="B532" s="127" t="s">
        <v>471</v>
      </c>
      <c r="C532" s="127" t="s">
        <v>406</v>
      </c>
      <c r="D532" s="131">
        <v>231.93100000000001</v>
      </c>
      <c r="E532" s="133"/>
      <c r="F532" s="134">
        <v>231.929</v>
      </c>
      <c r="G532" s="132" t="s">
        <v>422</v>
      </c>
    </row>
    <row r="533" spans="1:7" s="67" customFormat="1" ht="48" thickBot="1">
      <c r="A533" s="123" t="s">
        <v>472</v>
      </c>
      <c r="B533" s="127" t="s">
        <v>473</v>
      </c>
      <c r="C533" s="127" t="s">
        <v>406</v>
      </c>
      <c r="D533" s="131">
        <v>242.779</v>
      </c>
      <c r="E533" s="125"/>
      <c r="F533" s="131">
        <v>242.779</v>
      </c>
      <c r="G533" s="132" t="s">
        <v>419</v>
      </c>
    </row>
    <row r="534" spans="1:7" s="67" customFormat="1" ht="48" thickBot="1">
      <c r="A534" s="123" t="s">
        <v>474</v>
      </c>
      <c r="B534" s="127" t="s">
        <v>475</v>
      </c>
      <c r="C534" s="127" t="s">
        <v>406</v>
      </c>
      <c r="D534" s="131">
        <v>125.816</v>
      </c>
      <c r="E534" s="125"/>
      <c r="F534" s="131">
        <v>125.815</v>
      </c>
      <c r="G534" s="132" t="s">
        <v>419</v>
      </c>
    </row>
    <row r="535" spans="1:7" s="67" customFormat="1" ht="48" thickBot="1">
      <c r="A535" s="123" t="s">
        <v>476</v>
      </c>
      <c r="B535" s="127" t="s">
        <v>477</v>
      </c>
      <c r="C535" s="127" t="s">
        <v>406</v>
      </c>
      <c r="D535" s="131">
        <v>249.46899999999999</v>
      </c>
      <c r="E535" s="125"/>
      <c r="F535" s="131">
        <v>249.46899999999999</v>
      </c>
      <c r="G535" s="132" t="s">
        <v>419</v>
      </c>
    </row>
    <row r="536" spans="1:7" s="67" customFormat="1" ht="48" thickBot="1">
      <c r="A536" s="123" t="s">
        <v>478</v>
      </c>
      <c r="B536" s="127" t="s">
        <v>479</v>
      </c>
      <c r="C536" s="127" t="s">
        <v>406</v>
      </c>
      <c r="D536" s="131">
        <v>202.77199999999999</v>
      </c>
      <c r="E536" s="125"/>
      <c r="F536" s="131">
        <v>202.77099999999999</v>
      </c>
      <c r="G536" s="132" t="s">
        <v>419</v>
      </c>
    </row>
    <row r="537" spans="1:7" s="67" customFormat="1" ht="48" thickBot="1">
      <c r="A537" s="123" t="s">
        <v>480</v>
      </c>
      <c r="B537" s="127" t="s">
        <v>481</v>
      </c>
      <c r="C537" s="127" t="s">
        <v>406</v>
      </c>
      <c r="D537" s="131">
        <v>204.30099999999999</v>
      </c>
      <c r="E537" s="125"/>
      <c r="F537" s="131">
        <v>204.3</v>
      </c>
      <c r="G537" s="132" t="s">
        <v>419</v>
      </c>
    </row>
    <row r="538" spans="1:7" s="67" customFormat="1" ht="48" thickBot="1">
      <c r="A538" s="123" t="s">
        <v>482</v>
      </c>
      <c r="B538" s="127" t="s">
        <v>483</v>
      </c>
      <c r="C538" s="127" t="s">
        <v>406</v>
      </c>
      <c r="D538" s="131">
        <v>268.88600000000002</v>
      </c>
      <c r="E538" s="125"/>
      <c r="F538" s="131">
        <v>268.88499999999999</v>
      </c>
      <c r="G538" s="132" t="s">
        <v>419</v>
      </c>
    </row>
    <row r="539" spans="1:7" s="67" customFormat="1" ht="48" thickBot="1">
      <c r="A539" s="123" t="s">
        <v>484</v>
      </c>
      <c r="B539" s="127" t="s">
        <v>485</v>
      </c>
      <c r="C539" s="127" t="s">
        <v>406</v>
      </c>
      <c r="D539" s="131">
        <v>177.161</v>
      </c>
      <c r="E539" s="140"/>
      <c r="F539" s="141">
        <v>177.15899999999999</v>
      </c>
      <c r="G539" s="132" t="s">
        <v>422</v>
      </c>
    </row>
    <row r="540" spans="1:7" s="67" customFormat="1" ht="32.25" thickBot="1">
      <c r="A540" s="123" t="s">
        <v>486</v>
      </c>
      <c r="B540" s="127" t="s">
        <v>487</v>
      </c>
      <c r="C540" s="127" t="s">
        <v>406</v>
      </c>
      <c r="D540" s="131">
        <v>833.82799999999997</v>
      </c>
      <c r="E540" s="125"/>
      <c r="F540" s="131">
        <v>549.07899999999995</v>
      </c>
      <c r="G540" s="132" t="s">
        <v>412</v>
      </c>
    </row>
    <row r="541" spans="1:7" s="67" customFormat="1" ht="48" thickBot="1">
      <c r="A541" s="123" t="s">
        <v>488</v>
      </c>
      <c r="B541" s="127" t="s">
        <v>489</v>
      </c>
      <c r="C541" s="127" t="s">
        <v>406</v>
      </c>
      <c r="D541" s="131">
        <v>108.06</v>
      </c>
      <c r="E541" s="133"/>
      <c r="F541" s="134">
        <v>0.41099999999999998</v>
      </c>
      <c r="G541" s="132" t="s">
        <v>422</v>
      </c>
    </row>
    <row r="542" spans="1:7" s="67" customFormat="1" ht="48" thickBot="1">
      <c r="A542" s="123" t="s">
        <v>490</v>
      </c>
      <c r="B542" s="127" t="s">
        <v>491</v>
      </c>
      <c r="C542" s="127" t="s">
        <v>406</v>
      </c>
      <c r="D542" s="131">
        <v>269.37200000000001</v>
      </c>
      <c r="E542" s="133"/>
      <c r="F542" s="134">
        <v>269.37</v>
      </c>
      <c r="G542" s="132" t="s">
        <v>422</v>
      </c>
    </row>
    <row r="543" spans="1:7" s="67" customFormat="1" ht="32.25" thickBot="1">
      <c r="A543" s="123" t="s">
        <v>492</v>
      </c>
      <c r="B543" s="127" t="s">
        <v>493</v>
      </c>
      <c r="C543" s="127" t="s">
        <v>406</v>
      </c>
      <c r="D543" s="131">
        <v>758.07500000000005</v>
      </c>
      <c r="E543" s="125"/>
      <c r="F543" s="131">
        <v>478.173</v>
      </c>
      <c r="G543" s="132" t="s">
        <v>412</v>
      </c>
    </row>
    <row r="544" spans="1:7" s="67" customFormat="1" ht="48" thickBot="1">
      <c r="A544" s="123" t="s">
        <v>494</v>
      </c>
      <c r="B544" s="127" t="s">
        <v>495</v>
      </c>
      <c r="C544" s="127" t="s">
        <v>406</v>
      </c>
      <c r="D544" s="131">
        <v>265.77499999999998</v>
      </c>
      <c r="E544" s="133"/>
      <c r="F544" s="134">
        <v>265.774</v>
      </c>
      <c r="G544" s="132" t="s">
        <v>422</v>
      </c>
    </row>
    <row r="545" spans="1:7" s="67" customFormat="1" ht="32.25" thickBot="1">
      <c r="A545" s="123" t="s">
        <v>496</v>
      </c>
      <c r="B545" s="127" t="s">
        <v>497</v>
      </c>
      <c r="C545" s="127" t="s">
        <v>406</v>
      </c>
      <c r="D545" s="131">
        <v>446.56700000000001</v>
      </c>
      <c r="E545" s="125"/>
      <c r="F545" s="131">
        <v>287.10199999999998</v>
      </c>
      <c r="G545" s="132" t="s">
        <v>412</v>
      </c>
    </row>
    <row r="546" spans="1:7" s="67" customFormat="1" ht="79.5" thickBot="1">
      <c r="A546" s="123" t="s">
        <v>498</v>
      </c>
      <c r="B546" s="127" t="s">
        <v>499</v>
      </c>
      <c r="C546" s="127" t="s">
        <v>406</v>
      </c>
      <c r="D546" s="131">
        <v>476.21300000000002</v>
      </c>
      <c r="E546" s="125"/>
      <c r="F546" s="131">
        <v>426.57900000000001</v>
      </c>
      <c r="G546" s="132" t="s">
        <v>1315</v>
      </c>
    </row>
    <row r="547" spans="1:7" s="67" customFormat="1" ht="79.5" thickBot="1">
      <c r="A547" s="123" t="s">
        <v>500</v>
      </c>
      <c r="B547" s="127" t="s">
        <v>501</v>
      </c>
      <c r="C547" s="127" t="s">
        <v>406</v>
      </c>
      <c r="D547" s="131">
        <v>475.411</v>
      </c>
      <c r="E547" s="125"/>
      <c r="F547" s="131">
        <v>412.255</v>
      </c>
      <c r="G547" s="132" t="s">
        <v>1315</v>
      </c>
    </row>
    <row r="548" spans="1:7" s="67" customFormat="1" ht="79.5" thickBot="1">
      <c r="A548" s="123" t="s">
        <v>502</v>
      </c>
      <c r="B548" s="127" t="s">
        <v>503</v>
      </c>
      <c r="C548" s="127" t="s">
        <v>406</v>
      </c>
      <c r="D548" s="131">
        <v>482.83600000000001</v>
      </c>
      <c r="E548" s="125"/>
      <c r="F548" s="131">
        <v>422.81900000000002</v>
      </c>
      <c r="G548" s="132" t="s">
        <v>1315</v>
      </c>
    </row>
    <row r="549" spans="1:7" s="67" customFormat="1" ht="48" thickBot="1">
      <c r="A549" s="123" t="s">
        <v>504</v>
      </c>
      <c r="B549" s="127" t="s">
        <v>505</v>
      </c>
      <c r="C549" s="127" t="s">
        <v>406</v>
      </c>
      <c r="D549" s="131">
        <v>219.09399999999999</v>
      </c>
      <c r="E549" s="133"/>
      <c r="F549" s="134">
        <v>219.09399999999999</v>
      </c>
      <c r="G549" s="132" t="s">
        <v>422</v>
      </c>
    </row>
    <row r="550" spans="1:7" s="67" customFormat="1" ht="48" thickBot="1">
      <c r="A550" s="123" t="s">
        <v>506</v>
      </c>
      <c r="B550" s="127" t="s">
        <v>507</v>
      </c>
      <c r="C550" s="127" t="s">
        <v>406</v>
      </c>
      <c r="D550" s="131">
        <v>218.03299999999999</v>
      </c>
      <c r="E550" s="133"/>
      <c r="F550" s="134">
        <v>218.03100000000001</v>
      </c>
      <c r="G550" s="132" t="s">
        <v>422</v>
      </c>
    </row>
    <row r="551" spans="1:7" s="67" customFormat="1" ht="48" thickBot="1">
      <c r="A551" s="123" t="s">
        <v>508</v>
      </c>
      <c r="B551" s="142" t="s">
        <v>509</v>
      </c>
      <c r="C551" s="127" t="s">
        <v>406</v>
      </c>
      <c r="D551" s="131">
        <v>217.00399999999999</v>
      </c>
      <c r="E551" s="133"/>
      <c r="F551" s="134">
        <v>217.00299999999999</v>
      </c>
      <c r="G551" s="132" t="s">
        <v>422</v>
      </c>
    </row>
    <row r="552" spans="1:7" s="67" customFormat="1" ht="32.25" thickBot="1">
      <c r="A552" s="123" t="s">
        <v>510</v>
      </c>
      <c r="B552" s="127" t="s">
        <v>511</v>
      </c>
      <c r="C552" s="127" t="s">
        <v>406</v>
      </c>
      <c r="D552" s="131">
        <v>479.2</v>
      </c>
      <c r="E552" s="125"/>
      <c r="F552" s="131">
        <v>303.57600000000002</v>
      </c>
      <c r="G552" s="132" t="s">
        <v>412</v>
      </c>
    </row>
    <row r="553" spans="1:7" s="67" customFormat="1" ht="63.75" thickBot="1">
      <c r="A553" s="123" t="s">
        <v>512</v>
      </c>
      <c r="B553" s="127" t="s">
        <v>513</v>
      </c>
      <c r="C553" s="127" t="s">
        <v>406</v>
      </c>
      <c r="D553" s="131">
        <v>232.13399999999999</v>
      </c>
      <c r="E553" s="125"/>
      <c r="F553" s="131">
        <v>232.13200000000001</v>
      </c>
      <c r="G553" s="132" t="s">
        <v>1316</v>
      </c>
    </row>
    <row r="554" spans="1:7" s="67" customFormat="1" ht="48" thickBot="1">
      <c r="A554" s="123" t="s">
        <v>515</v>
      </c>
      <c r="B554" s="127" t="s">
        <v>516</v>
      </c>
      <c r="C554" s="127" t="s">
        <v>406</v>
      </c>
      <c r="D554" s="131">
        <v>700.65599999999995</v>
      </c>
      <c r="E554" s="125"/>
      <c r="F554" s="131">
        <v>451.53199999999998</v>
      </c>
      <c r="G554" s="132" t="s">
        <v>514</v>
      </c>
    </row>
    <row r="555" spans="1:7" s="67" customFormat="1" ht="48" thickBot="1">
      <c r="A555" s="123" t="s">
        <v>517</v>
      </c>
      <c r="B555" s="127" t="s">
        <v>518</v>
      </c>
      <c r="C555" s="127" t="s">
        <v>406</v>
      </c>
      <c r="D555" s="131">
        <v>271.529</v>
      </c>
      <c r="E555" s="125"/>
      <c r="F555" s="131">
        <v>271.52800000000002</v>
      </c>
      <c r="G555" s="132" t="s">
        <v>419</v>
      </c>
    </row>
    <row r="556" spans="1:7" s="67" customFormat="1" ht="32.25" thickBot="1">
      <c r="A556" s="123" t="s">
        <v>519</v>
      </c>
      <c r="B556" s="136" t="s">
        <v>520</v>
      </c>
      <c r="C556" s="127" t="s">
        <v>406</v>
      </c>
      <c r="D556" s="131">
        <v>496.202</v>
      </c>
      <c r="E556" s="137"/>
      <c r="F556" s="138">
        <v>358.81400000000002</v>
      </c>
      <c r="G556" s="136" t="s">
        <v>412</v>
      </c>
    </row>
    <row r="557" spans="1:7" s="67" customFormat="1" ht="32.25" thickBot="1">
      <c r="A557" s="123" t="s">
        <v>521</v>
      </c>
      <c r="B557" s="127" t="s">
        <v>522</v>
      </c>
      <c r="C557" s="127" t="s">
        <v>406</v>
      </c>
      <c r="D557" s="131">
        <v>808.80799999999999</v>
      </c>
      <c r="E557" s="125"/>
      <c r="F557" s="131">
        <v>504.90199999999999</v>
      </c>
      <c r="G557" s="143" t="s">
        <v>412</v>
      </c>
    </row>
    <row r="558" spans="1:7" s="67" customFormat="1" ht="32.25" thickBot="1">
      <c r="A558" s="123" t="s">
        <v>523</v>
      </c>
      <c r="B558" s="127" t="s">
        <v>524</v>
      </c>
      <c r="C558" s="127" t="s">
        <v>406</v>
      </c>
      <c r="D558" s="131">
        <v>739.45600000000002</v>
      </c>
      <c r="E558" s="125"/>
      <c r="F558" s="131">
        <v>510.00799999999998</v>
      </c>
      <c r="G558" s="136" t="s">
        <v>412</v>
      </c>
    </row>
    <row r="559" spans="1:7" s="67" customFormat="1" ht="48" thickBot="1">
      <c r="A559" s="123" t="s">
        <v>525</v>
      </c>
      <c r="B559" s="127" t="s">
        <v>526</v>
      </c>
      <c r="C559" s="127" t="s">
        <v>406</v>
      </c>
      <c r="D559" s="131">
        <v>228.56</v>
      </c>
      <c r="E559" s="306"/>
      <c r="F559" s="307">
        <v>228.55842999999999</v>
      </c>
      <c r="G559" s="132" t="s">
        <v>422</v>
      </c>
    </row>
    <row r="560" spans="1:7" s="67" customFormat="1" ht="48" thickBot="1">
      <c r="A560" s="123" t="s">
        <v>527</v>
      </c>
      <c r="B560" s="127" t="s">
        <v>528</v>
      </c>
      <c r="C560" s="127" t="s">
        <v>406</v>
      </c>
      <c r="D560" s="131">
        <v>229.13200000000001</v>
      </c>
      <c r="E560" s="133"/>
      <c r="F560" s="134">
        <v>229.13</v>
      </c>
      <c r="G560" s="132" t="s">
        <v>422</v>
      </c>
    </row>
    <row r="561" spans="1:7" s="67" customFormat="1" ht="32.25" thickBot="1">
      <c r="A561" s="123" t="s">
        <v>529</v>
      </c>
      <c r="B561" s="127" t="s">
        <v>530</v>
      </c>
      <c r="C561" s="127" t="s">
        <v>406</v>
      </c>
      <c r="D561" s="131">
        <v>298.64400000000001</v>
      </c>
      <c r="E561" s="125"/>
      <c r="F561" s="135">
        <v>204.30500000000001</v>
      </c>
      <c r="G561" s="143" t="s">
        <v>412</v>
      </c>
    </row>
    <row r="562" spans="1:7" s="67" customFormat="1" ht="32.25" thickBot="1">
      <c r="A562" s="123" t="s">
        <v>531</v>
      </c>
      <c r="B562" s="127" t="s">
        <v>532</v>
      </c>
      <c r="C562" s="127" t="s">
        <v>406</v>
      </c>
      <c r="D562" s="131">
        <f>1087.939+620.484</f>
        <v>1708.4230000000002</v>
      </c>
      <c r="E562" s="125"/>
      <c r="F562" s="131">
        <v>1094.1679999999999</v>
      </c>
      <c r="G562" s="136" t="s">
        <v>412</v>
      </c>
    </row>
    <row r="563" spans="1:7" s="67" customFormat="1" ht="48" thickBot="1">
      <c r="A563" s="123" t="s">
        <v>533</v>
      </c>
      <c r="B563" s="127" t="s">
        <v>534</v>
      </c>
      <c r="C563" s="127" t="s">
        <v>406</v>
      </c>
      <c r="D563" s="131">
        <v>211.553</v>
      </c>
      <c r="E563" s="133"/>
      <c r="F563" s="134">
        <v>211.55099999999999</v>
      </c>
      <c r="G563" s="132" t="s">
        <v>422</v>
      </c>
    </row>
    <row r="564" spans="1:7" s="67" customFormat="1" ht="79.5" thickBot="1">
      <c r="A564" s="123" t="s">
        <v>535</v>
      </c>
      <c r="B564" s="127" t="s">
        <v>536</v>
      </c>
      <c r="C564" s="127" t="s">
        <v>406</v>
      </c>
      <c r="D564" s="131">
        <v>333.29599999999999</v>
      </c>
      <c r="E564" s="125"/>
      <c r="F564" s="131">
        <v>299.08999999999997</v>
      </c>
      <c r="G564" s="132" t="s">
        <v>1315</v>
      </c>
    </row>
    <row r="565" spans="1:7" s="67" customFormat="1" ht="32.25" thickBot="1">
      <c r="A565" s="127" t="s">
        <v>1317</v>
      </c>
      <c r="B565" s="127" t="s">
        <v>1318</v>
      </c>
      <c r="C565" s="127" t="s">
        <v>406</v>
      </c>
      <c r="D565" s="131">
        <v>282.60000000000002</v>
      </c>
      <c r="E565" s="125"/>
      <c r="F565" s="131">
        <v>223.94640999999999</v>
      </c>
      <c r="G565" s="136" t="s">
        <v>412</v>
      </c>
    </row>
    <row r="566" spans="1:7" s="67" customFormat="1" ht="32.25" thickBot="1">
      <c r="A566" s="127" t="s">
        <v>1319</v>
      </c>
      <c r="B566" s="127" t="s">
        <v>1320</v>
      </c>
      <c r="C566" s="127" t="s">
        <v>406</v>
      </c>
      <c r="D566" s="131">
        <v>263.79599999999999</v>
      </c>
      <c r="E566" s="125"/>
      <c r="F566" s="131">
        <v>184.68132</v>
      </c>
      <c r="G566" s="143" t="s">
        <v>412</v>
      </c>
    </row>
    <row r="567" spans="1:7" s="67" customFormat="1" ht="32.25" thickBot="1">
      <c r="A567" s="127" t="s">
        <v>1321</v>
      </c>
      <c r="B567" s="127" t="s">
        <v>1322</v>
      </c>
      <c r="C567" s="127" t="s">
        <v>406</v>
      </c>
      <c r="D567" s="131">
        <v>445.38600000000002</v>
      </c>
      <c r="E567" s="125"/>
      <c r="F567" s="131">
        <v>306.56349999999998</v>
      </c>
      <c r="G567" s="136" t="s">
        <v>412</v>
      </c>
    </row>
    <row r="568" spans="1:7" s="67" customFormat="1" ht="32.25" thickBot="1">
      <c r="A568" s="127" t="s">
        <v>1323</v>
      </c>
      <c r="B568" s="127" t="s">
        <v>1324</v>
      </c>
      <c r="C568" s="127" t="s">
        <v>406</v>
      </c>
      <c r="D568" s="131">
        <v>460.13</v>
      </c>
      <c r="E568" s="125"/>
      <c r="F568" s="131">
        <v>317.53268000000003</v>
      </c>
      <c r="G568" s="143" t="s">
        <v>412</v>
      </c>
    </row>
    <row r="569" spans="1:7" s="67" customFormat="1" ht="32.25" thickBot="1">
      <c r="A569" s="127" t="s">
        <v>1325</v>
      </c>
      <c r="B569" s="127" t="s">
        <v>1326</v>
      </c>
      <c r="C569" s="127" t="s">
        <v>406</v>
      </c>
      <c r="D569" s="131">
        <v>213.47399999999999</v>
      </c>
      <c r="E569" s="125"/>
      <c r="F569" s="131">
        <v>149.45076</v>
      </c>
      <c r="G569" s="136" t="s">
        <v>412</v>
      </c>
    </row>
    <row r="570" spans="1:7" s="67" customFormat="1" ht="32.25" thickBot="1">
      <c r="A570" s="127" t="s">
        <v>1327</v>
      </c>
      <c r="B570" s="127" t="s">
        <v>1328</v>
      </c>
      <c r="C570" s="127" t="s">
        <v>406</v>
      </c>
      <c r="D570" s="131">
        <v>212.476</v>
      </c>
      <c r="E570" s="125"/>
      <c r="F570" s="131">
        <v>148.75282000000001</v>
      </c>
      <c r="G570" s="143" t="s">
        <v>412</v>
      </c>
    </row>
    <row r="571" spans="1:7" s="67" customFormat="1" ht="32.25" thickBot="1">
      <c r="A571" s="127" t="s">
        <v>1329</v>
      </c>
      <c r="B571" s="127" t="s">
        <v>1330</v>
      </c>
      <c r="C571" s="127" t="s">
        <v>406</v>
      </c>
      <c r="D571" s="131">
        <v>213.47399999999999</v>
      </c>
      <c r="E571" s="125"/>
      <c r="F571" s="131">
        <v>151.73312000000001</v>
      </c>
      <c r="G571" s="136" t="s">
        <v>412</v>
      </c>
    </row>
    <row r="572" spans="1:7" s="67" customFormat="1" ht="32.25" thickBot="1">
      <c r="A572" s="17" t="s">
        <v>1331</v>
      </c>
      <c r="B572" s="17" t="s">
        <v>1332</v>
      </c>
      <c r="C572" s="127" t="s">
        <v>406</v>
      </c>
      <c r="D572" s="18">
        <v>20.16</v>
      </c>
      <c r="E572" s="125"/>
      <c r="F572" s="28">
        <f>10.7737+2.5563</f>
        <v>13.33</v>
      </c>
      <c r="G572" s="17" t="s">
        <v>994</v>
      </c>
    </row>
    <row r="573" spans="1:7" s="67" customFormat="1" ht="32.25" thickBot="1">
      <c r="A573" s="17" t="s">
        <v>1333</v>
      </c>
      <c r="B573" s="17" t="s">
        <v>1334</v>
      </c>
      <c r="C573" s="127" t="s">
        <v>406</v>
      </c>
      <c r="D573" s="18">
        <v>32.115000000000002</v>
      </c>
      <c r="E573" s="125"/>
      <c r="F573" s="28">
        <v>22.480499999999999</v>
      </c>
      <c r="G573" s="17" t="s">
        <v>1335</v>
      </c>
    </row>
    <row r="574" spans="1:7" s="67" customFormat="1" ht="32.25" thickBot="1">
      <c r="A574" s="17" t="s">
        <v>1336</v>
      </c>
      <c r="B574" s="17" t="s">
        <v>1337</v>
      </c>
      <c r="C574" s="127" t="s">
        <v>406</v>
      </c>
      <c r="D574" s="18">
        <v>17.858000000000001</v>
      </c>
      <c r="E574" s="125"/>
      <c r="F574" s="28">
        <f>9.5445+4.0905</f>
        <v>13.634999999999998</v>
      </c>
      <c r="G574" s="17" t="s">
        <v>994</v>
      </c>
    </row>
    <row r="575" spans="1:7" s="67" customFormat="1" ht="32.25" thickBot="1">
      <c r="A575" s="17" t="s">
        <v>1338</v>
      </c>
      <c r="B575" s="17" t="s">
        <v>1339</v>
      </c>
      <c r="C575" s="127" t="s">
        <v>406</v>
      </c>
      <c r="D575" s="18">
        <v>19.8</v>
      </c>
      <c r="E575" s="125"/>
      <c r="F575" s="28">
        <f>10.5735+4.4565</f>
        <v>15.03</v>
      </c>
      <c r="G575" s="17" t="s">
        <v>994</v>
      </c>
    </row>
    <row r="576" spans="1:7" s="67" customFormat="1" ht="32.25" thickBot="1">
      <c r="A576" s="17" t="s">
        <v>1340</v>
      </c>
      <c r="B576" s="17" t="s">
        <v>1341</v>
      </c>
      <c r="C576" s="127" t="s">
        <v>406</v>
      </c>
      <c r="D576" s="18">
        <v>20.16</v>
      </c>
      <c r="E576" s="125"/>
      <c r="F576" s="28">
        <f>10.7737+2.5543</f>
        <v>13.327999999999999</v>
      </c>
      <c r="G576" s="17" t="s">
        <v>994</v>
      </c>
    </row>
    <row r="577" spans="1:7" s="67" customFormat="1" ht="32.25" thickBot="1">
      <c r="A577" s="17" t="s">
        <v>1342</v>
      </c>
      <c r="B577" s="17" t="s">
        <v>1343</v>
      </c>
      <c r="C577" s="127" t="s">
        <v>406</v>
      </c>
      <c r="D577" s="18">
        <v>20.16</v>
      </c>
      <c r="E577" s="125"/>
      <c r="F577" s="28">
        <f>10.7737+2.5623</f>
        <v>13.336</v>
      </c>
      <c r="G577" s="17" t="s">
        <v>994</v>
      </c>
    </row>
    <row r="578" spans="1:7" s="67" customFormat="1" ht="32.25" thickBot="1">
      <c r="A578" s="17" t="s">
        <v>1344</v>
      </c>
      <c r="B578" s="17" t="s">
        <v>1345</v>
      </c>
      <c r="C578" s="127" t="s">
        <v>406</v>
      </c>
      <c r="D578" s="18">
        <v>78.513999999999996</v>
      </c>
      <c r="E578" s="125"/>
      <c r="F578" s="28">
        <f>48.202+20.658</f>
        <v>68.86</v>
      </c>
      <c r="G578" s="17" t="s">
        <v>994</v>
      </c>
    </row>
    <row r="579" spans="1:7" s="67" customFormat="1" ht="32.25" thickBot="1">
      <c r="A579" s="17" t="s">
        <v>1346</v>
      </c>
      <c r="B579" s="17" t="s">
        <v>1347</v>
      </c>
      <c r="C579" s="127" t="s">
        <v>406</v>
      </c>
      <c r="D579" s="18">
        <v>27.785</v>
      </c>
      <c r="E579" s="125"/>
      <c r="F579" s="28">
        <v>16.918299999999999</v>
      </c>
      <c r="G579" s="17" t="s">
        <v>1335</v>
      </c>
    </row>
    <row r="580" spans="1:7" s="67" customFormat="1" ht="32.25" thickBot="1">
      <c r="A580" s="17" t="s">
        <v>1348</v>
      </c>
      <c r="B580" s="17" t="s">
        <v>1349</v>
      </c>
      <c r="C580" s="127" t="s">
        <v>406</v>
      </c>
      <c r="D580" s="18">
        <v>19.8</v>
      </c>
      <c r="E580" s="125"/>
      <c r="F580" s="28">
        <f>10.5735+4.4795</f>
        <v>15.052999999999999</v>
      </c>
      <c r="G580" s="17" t="s">
        <v>994</v>
      </c>
    </row>
    <row r="581" spans="1:7" s="67" customFormat="1" ht="32.25" thickBot="1">
      <c r="A581" s="17" t="s">
        <v>1350</v>
      </c>
      <c r="B581" s="17" t="s">
        <v>1351</v>
      </c>
      <c r="C581" s="127" t="s">
        <v>406</v>
      </c>
      <c r="D581" s="18">
        <v>10</v>
      </c>
      <c r="E581" s="125"/>
      <c r="F581" s="28">
        <f>5.3487+2.2923</f>
        <v>7.641</v>
      </c>
      <c r="G581" s="17" t="s">
        <v>994</v>
      </c>
    </row>
    <row r="582" spans="1:7" s="67" customFormat="1" ht="32.25" thickBot="1">
      <c r="A582" s="17" t="s">
        <v>1352</v>
      </c>
      <c r="B582" s="17" t="s">
        <v>1353</v>
      </c>
      <c r="C582" s="127" t="s">
        <v>406</v>
      </c>
      <c r="D582" s="18">
        <v>35</v>
      </c>
      <c r="E582" s="125"/>
      <c r="F582" s="28">
        <f>20.7914+8.9106</f>
        <v>29.701999999999998</v>
      </c>
      <c r="G582" s="17" t="s">
        <v>994</v>
      </c>
    </row>
    <row r="583" spans="1:7" s="67" customFormat="1" ht="32.25" thickBot="1">
      <c r="A583" s="17" t="s">
        <v>1354</v>
      </c>
      <c r="B583" s="17" t="s">
        <v>1355</v>
      </c>
      <c r="C583" s="127" t="s">
        <v>406</v>
      </c>
      <c r="D583" s="18">
        <v>10</v>
      </c>
      <c r="E583" s="125"/>
      <c r="F583" s="28">
        <f>5.3487+2.2923</f>
        <v>7.641</v>
      </c>
      <c r="G583" s="17" t="s">
        <v>994</v>
      </c>
    </row>
    <row r="584" spans="1:7" s="67" customFormat="1" ht="32.25" thickBot="1">
      <c r="A584" s="17" t="s">
        <v>1356</v>
      </c>
      <c r="B584" s="17" t="s">
        <v>1357</v>
      </c>
      <c r="C584" s="127" t="s">
        <v>406</v>
      </c>
      <c r="D584" s="18">
        <v>25</v>
      </c>
      <c r="E584" s="125"/>
      <c r="F584" s="28">
        <v>25</v>
      </c>
      <c r="G584" s="17" t="s">
        <v>1335</v>
      </c>
    </row>
    <row r="585" spans="1:7" s="67" customFormat="1" ht="32.25" thickBot="1">
      <c r="A585" s="17" t="s">
        <v>1358</v>
      </c>
      <c r="B585" s="17" t="s">
        <v>1359</v>
      </c>
      <c r="C585" s="127" t="s">
        <v>406</v>
      </c>
      <c r="D585" s="18">
        <v>26.715</v>
      </c>
      <c r="E585" s="125"/>
      <c r="F585" s="28">
        <v>15.891400000000001</v>
      </c>
      <c r="G585" s="17" t="s">
        <v>1335</v>
      </c>
    </row>
    <row r="586" spans="1:7" s="67" customFormat="1" ht="32.25" thickBot="1">
      <c r="A586" s="17" t="s">
        <v>1360</v>
      </c>
      <c r="B586" s="17" t="s">
        <v>1361</v>
      </c>
      <c r="C586" s="127" t="s">
        <v>406</v>
      </c>
      <c r="D586" s="18">
        <v>32.058</v>
      </c>
      <c r="E586" s="125"/>
      <c r="F586" s="28">
        <v>32.058</v>
      </c>
      <c r="G586" s="17" t="s">
        <v>1335</v>
      </c>
    </row>
    <row r="587" spans="1:7" s="67" customFormat="1" ht="32.25" thickBot="1">
      <c r="A587" s="17" t="s">
        <v>1362</v>
      </c>
      <c r="B587" s="17" t="s">
        <v>1363</v>
      </c>
      <c r="C587" s="127" t="s">
        <v>406</v>
      </c>
      <c r="D587" s="18">
        <v>10</v>
      </c>
      <c r="E587" s="125"/>
      <c r="F587" s="28">
        <f>5.3487+2.2923</f>
        <v>7.641</v>
      </c>
      <c r="G587" s="17" t="s">
        <v>994</v>
      </c>
    </row>
    <row r="588" spans="1:7" s="67" customFormat="1" ht="32.25" thickBot="1">
      <c r="A588" s="17" t="s">
        <v>1364</v>
      </c>
      <c r="B588" s="17" t="s">
        <v>1365</v>
      </c>
      <c r="C588" s="127" t="s">
        <v>406</v>
      </c>
      <c r="D588" s="18">
        <v>20.16</v>
      </c>
      <c r="E588" s="125"/>
      <c r="F588" s="28">
        <f>10.7737+4.6173</f>
        <v>15.391</v>
      </c>
      <c r="G588" s="17" t="s">
        <v>994</v>
      </c>
    </row>
    <row r="589" spans="1:7" s="67" customFormat="1" ht="32.25" thickBot="1">
      <c r="A589" s="17" t="s">
        <v>1366</v>
      </c>
      <c r="B589" s="17" t="s">
        <v>1367</v>
      </c>
      <c r="C589" s="127" t="s">
        <v>406</v>
      </c>
      <c r="D589" s="18">
        <v>10.1</v>
      </c>
      <c r="E589" s="125"/>
      <c r="F589" s="28">
        <f>5.383+2.307</f>
        <v>7.6899999999999995</v>
      </c>
      <c r="G589" s="17" t="s">
        <v>994</v>
      </c>
    </row>
    <row r="590" spans="1:7" s="67" customFormat="1" ht="32.25" thickBot="1">
      <c r="A590" s="17" t="s">
        <v>1368</v>
      </c>
      <c r="B590" s="17" t="s">
        <v>1369</v>
      </c>
      <c r="C590" s="127" t="s">
        <v>406</v>
      </c>
      <c r="D590" s="18">
        <v>10.736000000000001</v>
      </c>
      <c r="E590" s="125"/>
      <c r="F590" s="28">
        <f>5.7379+2.4591</f>
        <v>8.1969999999999992</v>
      </c>
      <c r="G590" s="17" t="s">
        <v>994</v>
      </c>
    </row>
    <row r="591" spans="1:7" s="67" customFormat="1" ht="32.25" thickBot="1">
      <c r="A591" s="17" t="s">
        <v>1370</v>
      </c>
      <c r="B591" s="17" t="s">
        <v>1371</v>
      </c>
      <c r="C591" s="127" t="s">
        <v>406</v>
      </c>
      <c r="D591" s="18">
        <v>19.8</v>
      </c>
      <c r="E591" s="125"/>
      <c r="F591" s="28">
        <f>10.5735+4.3945</f>
        <v>14.968</v>
      </c>
      <c r="G591" s="17" t="s">
        <v>994</v>
      </c>
    </row>
    <row r="592" spans="1:7" s="67" customFormat="1" ht="32.25" thickBot="1">
      <c r="A592" s="17" t="s">
        <v>1372</v>
      </c>
      <c r="B592" s="17" t="s">
        <v>1373</v>
      </c>
      <c r="C592" s="127" t="s">
        <v>406</v>
      </c>
      <c r="D592" s="18">
        <v>19.8</v>
      </c>
      <c r="E592" s="125"/>
      <c r="F592" s="28">
        <f>10.5735+4.3265</f>
        <v>14.899999999999999</v>
      </c>
      <c r="G592" s="17" t="s">
        <v>994</v>
      </c>
    </row>
    <row r="593" spans="1:7" s="67" customFormat="1" ht="32.25" thickBot="1">
      <c r="A593" s="17" t="s">
        <v>1374</v>
      </c>
      <c r="B593" s="17" t="s">
        <v>1375</v>
      </c>
      <c r="C593" s="127" t="s">
        <v>406</v>
      </c>
      <c r="D593" s="18">
        <v>10</v>
      </c>
      <c r="E593" s="125"/>
      <c r="F593" s="28">
        <f>5.3487+2.2923</f>
        <v>7.641</v>
      </c>
      <c r="G593" s="17" t="s">
        <v>994</v>
      </c>
    </row>
    <row r="594" spans="1:7" s="67" customFormat="1" ht="32.25" thickBot="1">
      <c r="A594" s="17" t="s">
        <v>1376</v>
      </c>
      <c r="B594" s="17" t="s">
        <v>1377</v>
      </c>
      <c r="C594" s="127" t="s">
        <v>406</v>
      </c>
      <c r="D594" s="18">
        <v>19.8</v>
      </c>
      <c r="E594" s="125"/>
      <c r="F594" s="28">
        <f>10.5735+4.4905</f>
        <v>15.064</v>
      </c>
      <c r="G594" s="17" t="s">
        <v>994</v>
      </c>
    </row>
    <row r="595" spans="1:7" s="67" customFormat="1" ht="32.25" thickBot="1">
      <c r="A595" s="17" t="s">
        <v>1378</v>
      </c>
      <c r="B595" s="17" t="s">
        <v>1379</v>
      </c>
      <c r="C595" s="127" t="s">
        <v>406</v>
      </c>
      <c r="D595" s="18">
        <v>18.715</v>
      </c>
      <c r="E595" s="125"/>
      <c r="F595" s="28">
        <f>10.0023+4.2867</f>
        <v>14.289</v>
      </c>
      <c r="G595" s="17" t="s">
        <v>994</v>
      </c>
    </row>
    <row r="596" spans="1:7" s="67" customFormat="1" ht="32.25" thickBot="1">
      <c r="A596" s="17" t="s">
        <v>1380</v>
      </c>
      <c r="B596" s="17" t="s">
        <v>1381</v>
      </c>
      <c r="C596" s="127" t="s">
        <v>406</v>
      </c>
      <c r="D596" s="18">
        <v>20.16</v>
      </c>
      <c r="E596" s="125"/>
      <c r="F596" s="28">
        <f>0.7737+2.5713</f>
        <v>3.3449999999999998</v>
      </c>
      <c r="G596" s="17" t="s">
        <v>994</v>
      </c>
    </row>
    <row r="597" spans="1:7" s="67" customFormat="1" ht="32.25" thickBot="1">
      <c r="A597" s="17" t="s">
        <v>1382</v>
      </c>
      <c r="B597" s="17" t="s">
        <v>1383</v>
      </c>
      <c r="C597" s="127" t="s">
        <v>406</v>
      </c>
      <c r="D597" s="18">
        <v>20.16</v>
      </c>
      <c r="E597" s="125"/>
      <c r="F597" s="28">
        <f>10.7737+2.5713</f>
        <v>13.344999999999999</v>
      </c>
      <c r="G597" s="17" t="s">
        <v>994</v>
      </c>
    </row>
    <row r="598" spans="1:7" s="67" customFormat="1" ht="32.25" thickBot="1">
      <c r="A598" s="17" t="s">
        <v>1384</v>
      </c>
      <c r="B598" s="17" t="s">
        <v>1385</v>
      </c>
      <c r="C598" s="127" t="s">
        <v>406</v>
      </c>
      <c r="D598" s="18">
        <v>19.8</v>
      </c>
      <c r="E598" s="125"/>
      <c r="F598" s="28">
        <f>10.5735+4.5315</f>
        <v>15.105</v>
      </c>
      <c r="G598" s="17" t="s">
        <v>994</v>
      </c>
    </row>
    <row r="599" spans="1:7" s="67" customFormat="1" ht="32.25" thickBot="1">
      <c r="A599" s="17" t="s">
        <v>1386</v>
      </c>
      <c r="B599" s="17" t="s">
        <v>1387</v>
      </c>
      <c r="C599" s="127" t="s">
        <v>406</v>
      </c>
      <c r="D599" s="18">
        <f>19.8</f>
        <v>19.8</v>
      </c>
      <c r="E599" s="125"/>
      <c r="F599" s="28">
        <f>10.5735+2.7485</f>
        <v>13.321999999999999</v>
      </c>
      <c r="G599" s="17" t="s">
        <v>994</v>
      </c>
    </row>
    <row r="600" spans="1:7" s="67" customFormat="1" ht="32.25" thickBot="1">
      <c r="A600" s="17" t="s">
        <v>1388</v>
      </c>
      <c r="B600" s="17" t="s">
        <v>1389</v>
      </c>
      <c r="C600" s="127" t="s">
        <v>406</v>
      </c>
      <c r="D600" s="18">
        <v>42.03</v>
      </c>
      <c r="E600" s="125"/>
      <c r="F600" s="28">
        <v>29.420999999999999</v>
      </c>
      <c r="G600" s="17" t="s">
        <v>1335</v>
      </c>
    </row>
    <row r="601" spans="1:7" s="67" customFormat="1" ht="32.25" thickBot="1">
      <c r="A601" s="17" t="s">
        <v>1390</v>
      </c>
      <c r="B601" s="17" t="s">
        <v>1391</v>
      </c>
      <c r="C601" s="127" t="s">
        <v>406</v>
      </c>
      <c r="D601" s="18">
        <v>22.908999999999999</v>
      </c>
      <c r="E601" s="125"/>
      <c r="F601" s="28">
        <f>9.6208+4.1232</f>
        <v>13.744</v>
      </c>
      <c r="G601" s="17" t="s">
        <v>994</v>
      </c>
    </row>
    <row r="602" spans="1:7" s="67" customFormat="1" ht="32.25" thickBot="1">
      <c r="A602" s="17" t="s">
        <v>1392</v>
      </c>
      <c r="B602" s="17" t="s">
        <v>1393</v>
      </c>
      <c r="C602" s="127" t="s">
        <v>406</v>
      </c>
      <c r="D602" s="18">
        <v>19.8</v>
      </c>
      <c r="E602" s="125"/>
      <c r="F602" s="28">
        <f>10.5735+4.4975</f>
        <v>15.070999999999998</v>
      </c>
      <c r="G602" s="17" t="s">
        <v>994</v>
      </c>
    </row>
    <row r="603" spans="1:7" s="67" customFormat="1" ht="32.25" thickBot="1">
      <c r="A603" s="17" t="s">
        <v>1394</v>
      </c>
      <c r="B603" s="17" t="s">
        <v>1395</v>
      </c>
      <c r="C603" s="127" t="s">
        <v>406</v>
      </c>
      <c r="D603" s="18">
        <v>19.8</v>
      </c>
      <c r="E603" s="125"/>
      <c r="F603" s="28">
        <f>0.5735+2.3965</f>
        <v>2.97</v>
      </c>
      <c r="G603" s="17" t="s">
        <v>994</v>
      </c>
    </row>
    <row r="604" spans="1:7" s="67" customFormat="1" ht="32.25" thickBot="1">
      <c r="A604" s="17" t="s">
        <v>1396</v>
      </c>
      <c r="B604" s="17" t="s">
        <v>1397</v>
      </c>
      <c r="C604" s="127" t="s">
        <v>406</v>
      </c>
      <c r="D604" s="18">
        <v>30.024999999999999</v>
      </c>
      <c r="E604" s="125"/>
      <c r="F604" s="28">
        <v>18.097799999999999</v>
      </c>
      <c r="G604" s="17" t="s">
        <v>1335</v>
      </c>
    </row>
    <row r="605" spans="1:7" s="67" customFormat="1" ht="32.25" thickBot="1">
      <c r="A605" s="17" t="s">
        <v>1398</v>
      </c>
      <c r="B605" s="17" t="s">
        <v>1399</v>
      </c>
      <c r="C605" s="127" t="s">
        <v>406</v>
      </c>
      <c r="D605" s="18">
        <v>7.16</v>
      </c>
      <c r="E605" s="125"/>
      <c r="F605" s="28">
        <f>3.8255+1.6395</f>
        <v>5.4649999999999999</v>
      </c>
      <c r="G605" s="17" t="s">
        <v>994</v>
      </c>
    </row>
    <row r="606" spans="1:7" s="67" customFormat="1" ht="32.25" thickBot="1">
      <c r="A606" s="17" t="s">
        <v>1400</v>
      </c>
      <c r="B606" s="17" t="s">
        <v>1401</v>
      </c>
      <c r="C606" s="127" t="s">
        <v>406</v>
      </c>
      <c r="D606" s="18">
        <v>20.16</v>
      </c>
      <c r="E606" s="125"/>
      <c r="F606" s="28">
        <f>10.7737+4.6173</f>
        <v>15.391</v>
      </c>
      <c r="G606" s="17" t="s">
        <v>994</v>
      </c>
    </row>
    <row r="607" spans="1:7" s="67" customFormat="1" ht="32.25" thickBot="1">
      <c r="A607" s="17" t="s">
        <v>1402</v>
      </c>
      <c r="B607" s="17" t="s">
        <v>1403</v>
      </c>
      <c r="C607" s="127" t="s">
        <v>406</v>
      </c>
      <c r="D607" s="18">
        <v>26.571999999999999</v>
      </c>
      <c r="E607" s="125"/>
      <c r="F607" s="28">
        <v>15.9201</v>
      </c>
      <c r="G607" s="17" t="s">
        <v>994</v>
      </c>
    </row>
    <row r="608" spans="1:7" s="67" customFormat="1" ht="32.25" thickBot="1">
      <c r="A608" s="17" t="s">
        <v>1404</v>
      </c>
      <c r="B608" s="17" t="s">
        <v>1405</v>
      </c>
      <c r="C608" s="127" t="s">
        <v>406</v>
      </c>
      <c r="D608" s="18">
        <v>20.015000000000001</v>
      </c>
      <c r="E608" s="125"/>
      <c r="F608" s="28">
        <f>10.7737+4.6173</f>
        <v>15.391</v>
      </c>
      <c r="G608" s="17" t="s">
        <v>994</v>
      </c>
    </row>
    <row r="609" spans="1:7" s="67" customFormat="1" ht="32.25" thickBot="1">
      <c r="A609" s="17" t="s">
        <v>1406</v>
      </c>
      <c r="B609" s="17" t="s">
        <v>1407</v>
      </c>
      <c r="C609" s="127" t="s">
        <v>406</v>
      </c>
      <c r="D609" s="18">
        <v>19.8</v>
      </c>
      <c r="E609" s="125"/>
      <c r="F609" s="28">
        <f>10.5735+4.4625</f>
        <v>15.036</v>
      </c>
      <c r="G609" s="17" t="s">
        <v>994</v>
      </c>
    </row>
    <row r="610" spans="1:7" s="67" customFormat="1" ht="32.25" thickBot="1">
      <c r="A610" s="17" t="s">
        <v>1408</v>
      </c>
      <c r="B610" s="17" t="s">
        <v>1409</v>
      </c>
      <c r="C610" s="127" t="s">
        <v>406</v>
      </c>
      <c r="D610" s="18">
        <v>10</v>
      </c>
      <c r="E610" s="125"/>
      <c r="F610" s="28">
        <f>5.3487+2.2923</f>
        <v>7.641</v>
      </c>
      <c r="G610" s="17" t="s">
        <v>994</v>
      </c>
    </row>
    <row r="611" spans="1:7" s="67" customFormat="1" ht="32.25" thickBot="1">
      <c r="A611" s="17" t="s">
        <v>1410</v>
      </c>
      <c r="B611" s="17" t="s">
        <v>1411</v>
      </c>
      <c r="C611" s="127" t="s">
        <v>406</v>
      </c>
      <c r="D611" s="18">
        <v>35.03</v>
      </c>
      <c r="E611" s="125"/>
      <c r="F611" s="28">
        <v>20.612200000000001</v>
      </c>
      <c r="G611" s="17" t="s">
        <v>1335</v>
      </c>
    </row>
    <row r="612" spans="1:7" s="67" customFormat="1" ht="32.25" thickBot="1">
      <c r="A612" s="17" t="s">
        <v>1412</v>
      </c>
      <c r="B612" s="17" t="s">
        <v>1413</v>
      </c>
      <c r="C612" s="127" t="s">
        <v>406</v>
      </c>
      <c r="D612" s="18">
        <v>10</v>
      </c>
      <c r="E612" s="125"/>
      <c r="F612" s="28">
        <f>5.3487+2.2923</f>
        <v>7.641</v>
      </c>
      <c r="G612" s="17" t="s">
        <v>994</v>
      </c>
    </row>
    <row r="613" spans="1:7" s="67" customFormat="1" ht="32.25" thickBot="1">
      <c r="A613" s="17" t="s">
        <v>1414</v>
      </c>
      <c r="B613" s="17" t="s">
        <v>1415</v>
      </c>
      <c r="C613" s="127" t="s">
        <v>406</v>
      </c>
      <c r="D613" s="18">
        <v>15.010999999999999</v>
      </c>
      <c r="E613" s="125"/>
      <c r="F613" s="28">
        <f>8.0234+3.4386</f>
        <v>11.462</v>
      </c>
      <c r="G613" s="17" t="s">
        <v>994</v>
      </c>
    </row>
    <row r="614" spans="1:7" s="67" customFormat="1" ht="32.25" thickBot="1">
      <c r="A614" s="17" t="s">
        <v>1416</v>
      </c>
      <c r="B614" s="17" t="s">
        <v>1417</v>
      </c>
      <c r="C614" s="127" t="s">
        <v>406</v>
      </c>
      <c r="D614" s="18">
        <v>10.74</v>
      </c>
      <c r="E614" s="125"/>
      <c r="F614" s="28">
        <f>5.7379+2.4591</f>
        <v>8.1969999999999992</v>
      </c>
      <c r="G614" s="17" t="s">
        <v>994</v>
      </c>
    </row>
    <row r="615" spans="1:7" s="67" customFormat="1" ht="32.25" thickBot="1">
      <c r="A615" s="17" t="s">
        <v>1418</v>
      </c>
      <c r="B615" s="17" t="s">
        <v>1419</v>
      </c>
      <c r="C615" s="127" t="s">
        <v>406</v>
      </c>
      <c r="D615" s="18">
        <v>20.16</v>
      </c>
      <c r="E615" s="125"/>
      <c r="F615" s="28">
        <f>10.7737+2.5543</f>
        <v>13.327999999999999</v>
      </c>
      <c r="G615" s="17" t="s">
        <v>994</v>
      </c>
    </row>
    <row r="616" spans="1:7" s="67" customFormat="1" ht="32.25" thickBot="1">
      <c r="A616" s="19" t="s">
        <v>1420</v>
      </c>
      <c r="B616" s="19" t="s">
        <v>1421</v>
      </c>
      <c r="C616" s="144" t="s">
        <v>406</v>
      </c>
      <c r="D616" s="20">
        <v>19.8</v>
      </c>
      <c r="E616" s="145"/>
      <c r="F616" s="128">
        <v>3.4386000000000001</v>
      </c>
      <c r="G616" s="17" t="s">
        <v>994</v>
      </c>
    </row>
    <row r="617" spans="1:7" s="67" customFormat="1" ht="32.25" thickBot="1">
      <c r="A617" s="17" t="s">
        <v>1422</v>
      </c>
      <c r="B617" s="17" t="s">
        <v>1423</v>
      </c>
      <c r="C617" s="127" t="s">
        <v>406</v>
      </c>
      <c r="D617" s="18">
        <v>66.23</v>
      </c>
      <c r="E617" s="125"/>
      <c r="F617" s="28">
        <f>39.2245+16.8105</f>
        <v>56.034999999999997</v>
      </c>
      <c r="G617" s="17" t="s">
        <v>994</v>
      </c>
    </row>
    <row r="618" spans="1:7" s="67" customFormat="1" ht="32.25" thickBot="1">
      <c r="A618" s="17" t="s">
        <v>1424</v>
      </c>
      <c r="B618" s="17" t="s">
        <v>1425</v>
      </c>
      <c r="C618" s="127" t="s">
        <v>406</v>
      </c>
      <c r="D618" s="18">
        <v>3.5720000000000001</v>
      </c>
      <c r="E618" s="125"/>
      <c r="F618" s="28">
        <f>1.9089+0.8181</f>
        <v>2.7270000000000003</v>
      </c>
      <c r="G618" s="17" t="s">
        <v>994</v>
      </c>
    </row>
    <row r="619" spans="1:7" s="67" customFormat="1" ht="32.25" thickBot="1">
      <c r="A619" s="17" t="s">
        <v>1426</v>
      </c>
      <c r="B619" s="17" t="s">
        <v>1427</v>
      </c>
      <c r="C619" s="127" t="s">
        <v>406</v>
      </c>
      <c r="D619" s="18">
        <v>36.170999999999999</v>
      </c>
      <c r="E619" s="125"/>
      <c r="F619" s="28">
        <v>18.7803</v>
      </c>
      <c r="G619" s="17" t="s">
        <v>994</v>
      </c>
    </row>
    <row r="620" spans="1:7" s="67" customFormat="1" ht="32.25" thickBot="1">
      <c r="A620" s="17" t="s">
        <v>1428</v>
      </c>
      <c r="B620" s="17" t="s">
        <v>1429</v>
      </c>
      <c r="C620" s="127" t="s">
        <v>406</v>
      </c>
      <c r="D620" s="18">
        <v>15.010999999999999</v>
      </c>
      <c r="E620" s="125"/>
      <c r="F620" s="28">
        <v>8.0234000000000005</v>
      </c>
      <c r="G620" s="17" t="s">
        <v>994</v>
      </c>
    </row>
    <row r="621" spans="1:7" s="67" customFormat="1" ht="32.25" thickBot="1">
      <c r="A621" s="17" t="s">
        <v>1430</v>
      </c>
      <c r="B621" s="17" t="s">
        <v>1431</v>
      </c>
      <c r="C621" s="127" t="s">
        <v>406</v>
      </c>
      <c r="D621" s="18">
        <v>48.377000000000002</v>
      </c>
      <c r="E621" s="125"/>
      <c r="F621" s="28">
        <v>30.973600000000001</v>
      </c>
      <c r="G621" s="17" t="s">
        <v>994</v>
      </c>
    </row>
    <row r="622" spans="1:7" s="67" customFormat="1" ht="32.25" thickBot="1">
      <c r="A622" s="17" t="s">
        <v>1432</v>
      </c>
      <c r="B622" s="17" t="s">
        <v>1433</v>
      </c>
      <c r="C622" s="127" t="s">
        <v>406</v>
      </c>
      <c r="D622" s="18">
        <v>23.321000000000002</v>
      </c>
      <c r="E622" s="125"/>
      <c r="F622" s="28">
        <v>14.303100000000001</v>
      </c>
      <c r="G622" s="17" t="s">
        <v>1335</v>
      </c>
    </row>
    <row r="623" spans="1:7" s="67" customFormat="1" ht="32.25" thickBot="1">
      <c r="A623" s="17" t="s">
        <v>1434</v>
      </c>
      <c r="B623" s="17" t="s">
        <v>1435</v>
      </c>
      <c r="C623" s="127" t="s">
        <v>406</v>
      </c>
      <c r="D623" s="18">
        <v>19.8</v>
      </c>
      <c r="E623" s="125"/>
      <c r="F623" s="28">
        <f>10.5735+4.4815</f>
        <v>15.055</v>
      </c>
      <c r="G623" s="17" t="s">
        <v>994</v>
      </c>
    </row>
    <row r="624" spans="1:7" s="67" customFormat="1" ht="32.25" thickBot="1">
      <c r="A624" s="17" t="s">
        <v>1436</v>
      </c>
      <c r="B624" s="17" t="s">
        <v>1437</v>
      </c>
      <c r="C624" s="127" t="s">
        <v>406</v>
      </c>
      <c r="D624" s="18">
        <v>20.16</v>
      </c>
      <c r="E624" s="125"/>
      <c r="F624" s="28">
        <f>10.7737+2.5433</f>
        <v>13.317</v>
      </c>
      <c r="G624" s="17" t="s">
        <v>994</v>
      </c>
    </row>
    <row r="625" spans="1:7" s="67" customFormat="1" ht="32.25" thickBot="1">
      <c r="A625" s="17" t="s">
        <v>1438</v>
      </c>
      <c r="B625" s="17" t="s">
        <v>1439</v>
      </c>
      <c r="C625" s="127" t="s">
        <v>406</v>
      </c>
      <c r="D625" s="18">
        <v>20.16</v>
      </c>
      <c r="E625" s="125"/>
      <c r="F625" s="28">
        <f>10.7737+2.5743</f>
        <v>13.347999999999999</v>
      </c>
      <c r="G625" s="17" t="s">
        <v>994</v>
      </c>
    </row>
    <row r="626" spans="1:7" s="67" customFormat="1" ht="32.25" thickBot="1">
      <c r="A626" s="17" t="s">
        <v>1440</v>
      </c>
      <c r="B626" s="17" t="s">
        <v>1441</v>
      </c>
      <c r="C626" s="127" t="s">
        <v>406</v>
      </c>
      <c r="D626" s="18">
        <v>17.356999999999999</v>
      </c>
      <c r="E626" s="125"/>
      <c r="F626" s="28">
        <f>9.2771+3.9759</f>
        <v>13.253</v>
      </c>
      <c r="G626" s="17" t="s">
        <v>994</v>
      </c>
    </row>
    <row r="627" spans="1:7" s="67" customFormat="1" ht="32.25" thickBot="1">
      <c r="A627" s="17" t="s">
        <v>1442</v>
      </c>
      <c r="B627" s="17" t="s">
        <v>1443</v>
      </c>
      <c r="C627" s="127" t="s">
        <v>406</v>
      </c>
      <c r="D627" s="18">
        <v>17.356999999999999</v>
      </c>
      <c r="E627" s="125"/>
      <c r="F627" s="28">
        <f>9.2771+3.9759</f>
        <v>13.253</v>
      </c>
      <c r="G627" s="17" t="s">
        <v>994</v>
      </c>
    </row>
    <row r="628" spans="1:7" s="67" customFormat="1" ht="32.25" thickBot="1">
      <c r="A628" s="17" t="s">
        <v>1444</v>
      </c>
      <c r="B628" s="17" t="s">
        <v>1445</v>
      </c>
      <c r="C628" s="127" t="s">
        <v>406</v>
      </c>
      <c r="D628" s="18">
        <v>32.250999999999998</v>
      </c>
      <c r="E628" s="125"/>
      <c r="F628" s="28">
        <v>21.604099999999999</v>
      </c>
      <c r="G628" s="17" t="s">
        <v>994</v>
      </c>
    </row>
    <row r="629" spans="1:7" s="67" customFormat="1" ht="32.25" thickBot="1">
      <c r="A629" s="17" t="s">
        <v>1446</v>
      </c>
      <c r="B629" s="17" t="s">
        <v>1447</v>
      </c>
      <c r="C629" s="127" t="s">
        <v>406</v>
      </c>
      <c r="D629" s="18">
        <v>42.284999999999997</v>
      </c>
      <c r="E629" s="125"/>
      <c r="F629" s="28">
        <f>29.0934+12.4686</f>
        <v>41.561999999999998</v>
      </c>
      <c r="G629" s="17" t="s">
        <v>994</v>
      </c>
    </row>
    <row r="630" spans="1:7" s="67" customFormat="1" ht="32.25" thickBot="1">
      <c r="A630" s="17" t="s">
        <v>1448</v>
      </c>
      <c r="B630" s="17" t="s">
        <v>1449</v>
      </c>
      <c r="C630" s="127" t="s">
        <v>406</v>
      </c>
      <c r="D630" s="18">
        <v>26.428000000000001</v>
      </c>
      <c r="E630" s="125"/>
      <c r="F630" s="28">
        <v>26.428000000000001</v>
      </c>
      <c r="G630" s="17" t="s">
        <v>1335</v>
      </c>
    </row>
    <row r="631" spans="1:7" s="67" customFormat="1" ht="32.25" thickBot="1">
      <c r="A631" s="19" t="s">
        <v>1450</v>
      </c>
      <c r="B631" s="19" t="s">
        <v>1451</v>
      </c>
      <c r="C631" s="144" t="s">
        <v>406</v>
      </c>
      <c r="D631" s="20">
        <v>20.16</v>
      </c>
      <c r="E631" s="145"/>
      <c r="F631" s="128">
        <f>10.7737+4.6173</f>
        <v>15.391</v>
      </c>
      <c r="G631" s="17" t="s">
        <v>994</v>
      </c>
    </row>
    <row r="632" spans="1:7" s="67" customFormat="1" ht="32.25" thickBot="1">
      <c r="A632" s="17" t="s">
        <v>1452</v>
      </c>
      <c r="B632" s="17" t="s">
        <v>1453</v>
      </c>
      <c r="C632" s="127" t="s">
        <v>406</v>
      </c>
      <c r="D632" s="18">
        <v>20.16</v>
      </c>
      <c r="E632" s="125"/>
      <c r="F632" s="28">
        <v>20.16</v>
      </c>
      <c r="G632" s="17" t="s">
        <v>1335</v>
      </c>
    </row>
    <row r="633" spans="1:7" s="67" customFormat="1" ht="32.25" thickBot="1">
      <c r="A633" s="17" t="s">
        <v>1454</v>
      </c>
      <c r="B633" s="17" t="s">
        <v>1455</v>
      </c>
      <c r="C633" s="127" t="s">
        <v>406</v>
      </c>
      <c r="D633" s="18">
        <v>42.743000000000002</v>
      </c>
      <c r="E633" s="125"/>
      <c r="F633" s="28">
        <v>21.623699999999999</v>
      </c>
      <c r="G633" s="17" t="s">
        <v>994</v>
      </c>
    </row>
    <row r="634" spans="1:7" s="67" customFormat="1" ht="32.25" thickBot="1">
      <c r="A634" s="17" t="s">
        <v>1456</v>
      </c>
      <c r="B634" s="17" t="s">
        <v>1457</v>
      </c>
      <c r="C634" s="127" t="s">
        <v>406</v>
      </c>
      <c r="D634" s="18">
        <v>74.682000000000002</v>
      </c>
      <c r="E634" s="125"/>
      <c r="F634" s="28">
        <v>74.682000000000002</v>
      </c>
      <c r="G634" s="17" t="s">
        <v>1335</v>
      </c>
    </row>
    <row r="635" spans="1:7" s="67" customFormat="1" ht="32.25" thickBot="1">
      <c r="A635" s="17" t="s">
        <v>1458</v>
      </c>
      <c r="B635" s="17" t="s">
        <v>1459</v>
      </c>
      <c r="C635" s="127" t="s">
        <v>406</v>
      </c>
      <c r="D635" s="18">
        <v>42.743000000000002</v>
      </c>
      <c r="E635" s="125"/>
      <c r="F635" s="28">
        <v>42.743000000000002</v>
      </c>
      <c r="G635" s="17" t="s">
        <v>1335</v>
      </c>
    </row>
    <row r="636" spans="1:7" s="67" customFormat="1" ht="32.25" thickBot="1">
      <c r="A636" s="17" t="s">
        <v>1460</v>
      </c>
      <c r="B636" s="17" t="s">
        <v>1461</v>
      </c>
      <c r="C636" s="127" t="s">
        <v>406</v>
      </c>
      <c r="D636" s="18">
        <v>26.713999999999999</v>
      </c>
      <c r="E636" s="125"/>
      <c r="F636" s="28">
        <v>16.090900000000001</v>
      </c>
      <c r="G636" s="17" t="s">
        <v>1335</v>
      </c>
    </row>
    <row r="637" spans="1:7" s="67" customFormat="1" ht="32.25" thickBot="1">
      <c r="A637" s="17" t="s">
        <v>1462</v>
      </c>
      <c r="B637" s="17" t="s">
        <v>1463</v>
      </c>
      <c r="C637" s="127" t="s">
        <v>406</v>
      </c>
      <c r="D637" s="18">
        <v>20.16</v>
      </c>
      <c r="E637" s="125"/>
      <c r="F637" s="28">
        <f>9.699+4.1571</f>
        <v>13.8561</v>
      </c>
      <c r="G637" s="17" t="s">
        <v>1335</v>
      </c>
    </row>
    <row r="638" spans="1:7" s="67" customFormat="1" ht="16.5" thickBot="1">
      <c r="A638" s="127"/>
      <c r="B638" s="26" t="s">
        <v>1464</v>
      </c>
      <c r="C638" s="127"/>
      <c r="D638" s="28">
        <v>1405</v>
      </c>
      <c r="E638" s="125"/>
      <c r="F638" s="28"/>
      <c r="G638" s="136"/>
    </row>
    <row r="639" spans="1:7" s="67" customFormat="1" ht="32.25" thickBot="1">
      <c r="A639" s="119"/>
      <c r="B639" s="129" t="s">
        <v>537</v>
      </c>
      <c r="C639" s="129"/>
      <c r="D639" s="121">
        <f>D640+D641</f>
        <v>1516.816</v>
      </c>
      <c r="E639" s="130"/>
      <c r="F639" s="121">
        <f>F640</f>
        <v>1428.6790000000001</v>
      </c>
      <c r="G639" s="122"/>
    </row>
    <row r="640" spans="1:7" s="67" customFormat="1" ht="79.5" thickBot="1">
      <c r="A640" s="146" t="s">
        <v>538</v>
      </c>
      <c r="B640" s="127" t="s">
        <v>539</v>
      </c>
      <c r="C640" s="127" t="s">
        <v>537</v>
      </c>
      <c r="D640" s="131">
        <v>1431.816</v>
      </c>
      <c r="E640" s="125"/>
      <c r="F640" s="131">
        <v>1428.6790000000001</v>
      </c>
      <c r="G640" s="132" t="s">
        <v>1315</v>
      </c>
    </row>
    <row r="641" spans="1:7" s="67" customFormat="1" ht="32.25" thickBot="1">
      <c r="A641" s="146" t="s">
        <v>1465</v>
      </c>
      <c r="B641" s="26" t="s">
        <v>1466</v>
      </c>
      <c r="C641" s="127" t="s">
        <v>537</v>
      </c>
      <c r="D641" s="131">
        <v>85</v>
      </c>
      <c r="E641" s="125"/>
      <c r="F641" s="131"/>
      <c r="G641" s="132"/>
    </row>
    <row r="642" spans="1:7" s="67" customFormat="1" ht="16.5" thickBot="1">
      <c r="A642" s="146"/>
      <c r="B642" s="147" t="s">
        <v>1467</v>
      </c>
      <c r="C642" s="127"/>
      <c r="D642" s="121">
        <v>100</v>
      </c>
      <c r="E642" s="125"/>
      <c r="F642" s="131"/>
      <c r="G642" s="132"/>
    </row>
    <row r="643" spans="1:7" s="67" customFormat="1" ht="63.75" thickBot="1">
      <c r="A643" s="146" t="s">
        <v>1468</v>
      </c>
      <c r="B643" s="26" t="s">
        <v>1469</v>
      </c>
      <c r="C643" s="26" t="s">
        <v>1467</v>
      </c>
      <c r="D643" s="131">
        <v>100</v>
      </c>
      <c r="E643" s="125"/>
      <c r="F643" s="131"/>
      <c r="G643" s="132"/>
    </row>
    <row r="644" spans="1:7" s="67" customFormat="1" ht="48" thickBot="1">
      <c r="A644" s="119"/>
      <c r="B644" s="129" t="s">
        <v>540</v>
      </c>
      <c r="C644" s="129"/>
      <c r="D644" s="121">
        <v>296.36700000000002</v>
      </c>
      <c r="E644" s="130"/>
      <c r="F644" s="121">
        <f>F646+F645</f>
        <v>291.34739999999999</v>
      </c>
      <c r="G644" s="122"/>
    </row>
    <row r="645" spans="1:7" s="67" customFormat="1" ht="16.5" thickBot="1">
      <c r="A645" s="146" t="s">
        <v>541</v>
      </c>
      <c r="B645" s="127" t="s">
        <v>542</v>
      </c>
      <c r="C645" s="127" t="s">
        <v>543</v>
      </c>
      <c r="D645" s="131">
        <v>101.367</v>
      </c>
      <c r="E645" s="125"/>
      <c r="F645" s="135">
        <f>30.4101+70.9569</f>
        <v>101.367</v>
      </c>
      <c r="G645" s="132" t="s">
        <v>544</v>
      </c>
    </row>
    <row r="646" spans="1:7" s="67" customFormat="1" ht="48" thickBot="1">
      <c r="A646" s="146" t="s">
        <v>541</v>
      </c>
      <c r="B646" s="127" t="s">
        <v>545</v>
      </c>
      <c r="C646" s="127" t="s">
        <v>543</v>
      </c>
      <c r="D646" s="131">
        <v>195</v>
      </c>
      <c r="E646" s="125"/>
      <c r="F646" s="135">
        <f>11.803+53.5503+124.1141+0.513</f>
        <v>189.9804</v>
      </c>
      <c r="G646" s="132" t="s">
        <v>546</v>
      </c>
    </row>
    <row r="647" spans="1:7" s="67" customFormat="1" ht="16.5" thickBot="1">
      <c r="A647" s="129"/>
      <c r="B647" s="129" t="s">
        <v>547</v>
      </c>
      <c r="C647" s="129"/>
      <c r="D647" s="121">
        <f>D648+D649+D650</f>
        <v>3430.1750000000002</v>
      </c>
      <c r="E647" s="130"/>
      <c r="F647" s="121">
        <f>SUM(F648:F650)</f>
        <v>2979.4110000000001</v>
      </c>
      <c r="G647" s="122"/>
    </row>
    <row r="648" spans="1:7" s="67" customFormat="1" ht="48" thickBot="1">
      <c r="A648" s="127" t="s">
        <v>548</v>
      </c>
      <c r="B648" s="127" t="s">
        <v>549</v>
      </c>
      <c r="C648" s="127" t="s">
        <v>547</v>
      </c>
      <c r="D648" s="131">
        <v>1490</v>
      </c>
      <c r="E648" s="125"/>
      <c r="F648" s="131">
        <v>1464.326</v>
      </c>
      <c r="G648" s="132" t="s">
        <v>1470</v>
      </c>
    </row>
    <row r="649" spans="1:7" s="67" customFormat="1" ht="48" thickBot="1">
      <c r="A649" s="127" t="s">
        <v>1471</v>
      </c>
      <c r="B649" s="127" t="s">
        <v>1472</v>
      </c>
      <c r="C649" s="127" t="s">
        <v>547</v>
      </c>
      <c r="D649" s="131">
        <v>273.77300000000002</v>
      </c>
      <c r="E649" s="125"/>
      <c r="F649" s="131">
        <v>136.66399999999999</v>
      </c>
      <c r="G649" s="26" t="s">
        <v>1473</v>
      </c>
    </row>
    <row r="650" spans="1:7" s="67" customFormat="1" ht="16.5" thickBot="1">
      <c r="A650" s="127" t="s">
        <v>1474</v>
      </c>
      <c r="B650" s="127" t="s">
        <v>1475</v>
      </c>
      <c r="C650" s="127" t="s">
        <v>547</v>
      </c>
      <c r="D650" s="131">
        <v>1666.402</v>
      </c>
      <c r="E650" s="125"/>
      <c r="F650" s="131">
        <v>1378.421</v>
      </c>
      <c r="G650" s="132"/>
    </row>
    <row r="651" spans="1:7" s="67" customFormat="1" ht="16.5" thickBot="1">
      <c r="A651" s="129"/>
      <c r="B651" s="129" t="s">
        <v>550</v>
      </c>
      <c r="C651" s="129"/>
      <c r="D651" s="121">
        <f>D652+D653+D654</f>
        <v>1934</v>
      </c>
      <c r="E651" s="130"/>
      <c r="F651" s="121">
        <f>F652+F653+F654</f>
        <v>1023.18672</v>
      </c>
      <c r="G651" s="122"/>
    </row>
    <row r="652" spans="1:7" s="67" customFormat="1" ht="79.5" thickBot="1">
      <c r="A652" s="127" t="s">
        <v>551</v>
      </c>
      <c r="B652" s="127" t="s">
        <v>552</v>
      </c>
      <c r="C652" s="127" t="s">
        <v>550</v>
      </c>
      <c r="D652" s="131">
        <v>484</v>
      </c>
      <c r="E652" s="125"/>
      <c r="F652" s="131">
        <v>333.72500000000002</v>
      </c>
      <c r="G652" s="26" t="s">
        <v>1476</v>
      </c>
    </row>
    <row r="653" spans="1:7" s="67" customFormat="1" ht="32.25" thickBot="1">
      <c r="A653" s="127" t="s">
        <v>553</v>
      </c>
      <c r="B653" s="127" t="s">
        <v>554</v>
      </c>
      <c r="C653" s="127" t="s">
        <v>550</v>
      </c>
      <c r="D653" s="131">
        <v>850</v>
      </c>
      <c r="E653" s="125"/>
      <c r="F653" s="131">
        <v>509.46199999999999</v>
      </c>
      <c r="G653" s="132" t="s">
        <v>412</v>
      </c>
    </row>
    <row r="654" spans="1:7" s="67" customFormat="1" ht="32.25" thickBot="1">
      <c r="A654" s="127" t="s">
        <v>555</v>
      </c>
      <c r="B654" s="127" t="s">
        <v>556</v>
      </c>
      <c r="C654" s="127" t="s">
        <v>550</v>
      </c>
      <c r="D654" s="131">
        <v>600</v>
      </c>
      <c r="E654" s="125"/>
      <c r="F654" s="131">
        <v>179.99972</v>
      </c>
      <c r="G654" s="132" t="s">
        <v>67</v>
      </c>
    </row>
    <row r="655" spans="1:7" s="67" customFormat="1" ht="32.25" thickBot="1">
      <c r="A655" s="129"/>
      <c r="B655" s="129" t="s">
        <v>557</v>
      </c>
      <c r="C655" s="127" t="s">
        <v>550</v>
      </c>
      <c r="D655" s="121">
        <f>D656</f>
        <v>350</v>
      </c>
      <c r="E655" s="130"/>
      <c r="F655" s="121">
        <f>F656</f>
        <v>316.39699999999999</v>
      </c>
      <c r="G655" s="122"/>
    </row>
    <row r="656" spans="1:7" s="67" customFormat="1" ht="32.25" thickBot="1">
      <c r="A656" s="127" t="s">
        <v>558</v>
      </c>
      <c r="B656" s="127" t="s">
        <v>559</v>
      </c>
      <c r="C656" s="127" t="s">
        <v>550</v>
      </c>
      <c r="D656" s="131">
        <v>350</v>
      </c>
      <c r="E656" s="125"/>
      <c r="F656" s="131">
        <v>316.39699999999999</v>
      </c>
      <c r="G656" s="132" t="s">
        <v>560</v>
      </c>
    </row>
    <row r="657" spans="1:7" s="67" customFormat="1" ht="16.5" thickBot="1">
      <c r="A657" s="127"/>
      <c r="B657" s="147" t="s">
        <v>1477</v>
      </c>
      <c r="C657" s="127"/>
      <c r="D657" s="121">
        <f>D658</f>
        <v>276.23899999999998</v>
      </c>
      <c r="E657" s="125"/>
      <c r="F657" s="131"/>
      <c r="G657" s="132"/>
    </row>
    <row r="658" spans="1:7" s="67" customFormat="1" ht="63.75" thickBot="1">
      <c r="A658" s="127" t="s">
        <v>1478</v>
      </c>
      <c r="B658" s="26" t="s">
        <v>1479</v>
      </c>
      <c r="C658" s="127"/>
      <c r="D658" s="131">
        <v>276.23899999999998</v>
      </c>
      <c r="E658" s="125"/>
      <c r="F658" s="131"/>
      <c r="G658" s="132"/>
    </row>
    <row r="659" spans="1:7" s="67" customFormat="1" ht="16.5" thickBot="1">
      <c r="A659" s="127"/>
      <c r="B659" s="148" t="s">
        <v>1480</v>
      </c>
      <c r="C659" s="148"/>
      <c r="D659" s="121">
        <f>D470+D501+D639+D642+D644+D647+D651+D657</f>
        <v>73221.276999999987</v>
      </c>
      <c r="E659" s="130"/>
      <c r="F659" s="121">
        <f>F655+F651+F647+F644+F639+F501+F470</f>
        <v>61339.592600000018</v>
      </c>
      <c r="G659" s="132"/>
    </row>
    <row r="660" spans="1:7" s="67" customFormat="1">
      <c r="A660" s="149"/>
      <c r="B660" s="149"/>
      <c r="C660" s="150"/>
      <c r="D660" s="151"/>
      <c r="E660" s="151"/>
      <c r="F660" s="151"/>
      <c r="G660" s="149"/>
    </row>
    <row r="661" spans="1:7" s="308" customFormat="1" ht="16.5" thickBot="1">
      <c r="A661" s="403" t="s">
        <v>16</v>
      </c>
      <c r="B661" s="404"/>
      <c r="C661" s="404"/>
      <c r="D661" s="404"/>
      <c r="E661" s="404"/>
      <c r="F661" s="404"/>
      <c r="G661" s="405"/>
    </row>
    <row r="662" spans="1:7" s="308" customFormat="1" ht="31.5">
      <c r="A662" s="152" t="s">
        <v>1173</v>
      </c>
      <c r="B662" s="153" t="s">
        <v>1174</v>
      </c>
      <c r="C662" s="154" t="s">
        <v>1174</v>
      </c>
      <c r="D662" s="155">
        <v>1427.19859</v>
      </c>
      <c r="E662" s="155">
        <f>D662</f>
        <v>1427.19859</v>
      </c>
      <c r="F662" s="155">
        <v>1421.7730300000001</v>
      </c>
      <c r="G662" s="156" t="s">
        <v>1175</v>
      </c>
    </row>
    <row r="663" spans="1:7" s="308" customFormat="1" ht="48" thickBot="1">
      <c r="A663" s="157" t="s">
        <v>1176</v>
      </c>
      <c r="B663" s="158" t="s">
        <v>1174</v>
      </c>
      <c r="C663" s="159" t="s">
        <v>1174</v>
      </c>
      <c r="D663" s="160">
        <v>1088.3064099999999</v>
      </c>
      <c r="E663" s="160">
        <f t="shared" ref="E663:E733" si="5">D663</f>
        <v>1088.3064099999999</v>
      </c>
      <c r="F663" s="161">
        <v>1088.3064099999999</v>
      </c>
      <c r="G663" s="162" t="s">
        <v>1177</v>
      </c>
    </row>
    <row r="664" spans="1:7" s="308" customFormat="1" ht="31.5">
      <c r="A664" s="163"/>
      <c r="B664" s="164" t="s">
        <v>81</v>
      </c>
      <c r="C664" s="165" t="s">
        <v>76</v>
      </c>
      <c r="D664" s="182">
        <v>552.39599999999996</v>
      </c>
      <c r="E664" s="155">
        <f t="shared" si="5"/>
        <v>552.39599999999996</v>
      </c>
      <c r="F664" s="165">
        <v>320.54847999999998</v>
      </c>
      <c r="G664" s="166" t="s">
        <v>1178</v>
      </c>
    </row>
    <row r="665" spans="1:7" s="308" customFormat="1" ht="63">
      <c r="A665" s="167" t="s">
        <v>1179</v>
      </c>
      <c r="B665" s="74" t="s">
        <v>88</v>
      </c>
      <c r="C665" s="168" t="s">
        <v>76</v>
      </c>
      <c r="D665" s="168">
        <v>672.15</v>
      </c>
      <c r="E665" s="169">
        <f>D665</f>
        <v>672.15</v>
      </c>
      <c r="F665" s="168">
        <v>573.25906999999995</v>
      </c>
      <c r="G665" s="170" t="s">
        <v>1180</v>
      </c>
    </row>
    <row r="666" spans="1:7" s="308" customFormat="1" ht="31.5">
      <c r="A666" s="171"/>
      <c r="B666" s="172" t="s">
        <v>82</v>
      </c>
      <c r="C666" s="173" t="s">
        <v>76</v>
      </c>
      <c r="D666" s="168">
        <v>608.91200000000003</v>
      </c>
      <c r="E666" s="169">
        <f t="shared" si="5"/>
        <v>608.91200000000003</v>
      </c>
      <c r="F666" s="173">
        <v>518.66279999999995</v>
      </c>
      <c r="G666" s="174" t="s">
        <v>1181</v>
      </c>
    </row>
    <row r="667" spans="1:7" s="308" customFormat="1" ht="47.25">
      <c r="A667" s="171" t="s">
        <v>561</v>
      </c>
      <c r="B667" s="172" t="s">
        <v>83</v>
      </c>
      <c r="C667" s="173" t="s">
        <v>76</v>
      </c>
      <c r="D667" s="168">
        <v>760.68</v>
      </c>
      <c r="E667" s="169">
        <f t="shared" si="5"/>
        <v>760.68</v>
      </c>
      <c r="F667" s="173">
        <v>716.20803000000001</v>
      </c>
      <c r="G667" s="174" t="s">
        <v>1182</v>
      </c>
    </row>
    <row r="668" spans="1:7" s="308" customFormat="1" ht="31.5">
      <c r="A668" s="171"/>
      <c r="B668" s="172" t="s">
        <v>84</v>
      </c>
      <c r="C668" s="173" t="s">
        <v>76</v>
      </c>
      <c r="D668" s="168">
        <v>50.314</v>
      </c>
      <c r="E668" s="169">
        <f t="shared" si="5"/>
        <v>50.314</v>
      </c>
      <c r="F668" s="173">
        <v>50.313339999999997</v>
      </c>
      <c r="G668" s="175" t="s">
        <v>1183</v>
      </c>
    </row>
    <row r="669" spans="1:7" s="308" customFormat="1" ht="31.5">
      <c r="A669" s="171"/>
      <c r="B669" s="172" t="s">
        <v>85</v>
      </c>
      <c r="C669" s="173" t="s">
        <v>76</v>
      </c>
      <c r="D669" s="168">
        <v>53.64</v>
      </c>
      <c r="E669" s="169">
        <f t="shared" si="5"/>
        <v>53.64</v>
      </c>
      <c r="F669" s="173">
        <v>53.639490000000002</v>
      </c>
      <c r="G669" s="175" t="s">
        <v>1184</v>
      </c>
    </row>
    <row r="670" spans="1:7" s="308" customFormat="1" ht="47.25">
      <c r="A670" s="171" t="s">
        <v>309</v>
      </c>
      <c r="B670" s="172" t="s">
        <v>86</v>
      </c>
      <c r="C670" s="173" t="s">
        <v>76</v>
      </c>
      <c r="D670" s="168">
        <v>571.952</v>
      </c>
      <c r="E670" s="169">
        <f t="shared" si="5"/>
        <v>571.952</v>
      </c>
      <c r="F670" s="173">
        <v>571.94637999999998</v>
      </c>
      <c r="G670" s="175" t="s">
        <v>1185</v>
      </c>
    </row>
    <row r="671" spans="1:7" s="308" customFormat="1" ht="31.5">
      <c r="A671" s="171" t="s">
        <v>1186</v>
      </c>
      <c r="B671" s="172" t="s">
        <v>1187</v>
      </c>
      <c r="C671" s="173" t="s">
        <v>76</v>
      </c>
      <c r="D671" s="168">
        <v>674.58100000000002</v>
      </c>
      <c r="E671" s="169">
        <f t="shared" si="5"/>
        <v>674.58100000000002</v>
      </c>
      <c r="F671" s="173">
        <v>203.54</v>
      </c>
      <c r="G671" s="175" t="s">
        <v>69</v>
      </c>
    </row>
    <row r="672" spans="1:7" s="308" customFormat="1" ht="31.5">
      <c r="A672" s="171" t="s">
        <v>1188</v>
      </c>
      <c r="B672" s="172" t="s">
        <v>1189</v>
      </c>
      <c r="C672" s="173" t="s">
        <v>76</v>
      </c>
      <c r="D672" s="168">
        <v>1475.337</v>
      </c>
      <c r="E672" s="169">
        <f t="shared" si="5"/>
        <v>1475.337</v>
      </c>
      <c r="F672" s="173">
        <v>1475.337</v>
      </c>
      <c r="G672" s="175" t="s">
        <v>67</v>
      </c>
    </row>
    <row r="673" spans="1:7" s="308" customFormat="1" ht="63">
      <c r="A673" s="171" t="s">
        <v>310</v>
      </c>
      <c r="B673" s="176" t="s">
        <v>87</v>
      </c>
      <c r="C673" s="173" t="s">
        <v>76</v>
      </c>
      <c r="D673" s="168">
        <v>669.80200000000002</v>
      </c>
      <c r="E673" s="169">
        <f t="shared" si="5"/>
        <v>669.80200000000002</v>
      </c>
      <c r="F673" s="173">
        <v>669.79592000000002</v>
      </c>
      <c r="G673" s="175" t="s">
        <v>1190</v>
      </c>
    </row>
    <row r="674" spans="1:7" s="308" customFormat="1" ht="31.5">
      <c r="A674" s="171" t="s">
        <v>1191</v>
      </c>
      <c r="B674" s="172" t="s">
        <v>1192</v>
      </c>
      <c r="C674" s="173" t="s">
        <v>76</v>
      </c>
      <c r="D674" s="168">
        <v>201.328</v>
      </c>
      <c r="E674" s="169">
        <f t="shared" si="5"/>
        <v>201.328</v>
      </c>
      <c r="F674" s="173">
        <v>172.62316000000001</v>
      </c>
      <c r="G674" s="175" t="s">
        <v>412</v>
      </c>
    </row>
    <row r="675" spans="1:7" s="308" customFormat="1" ht="31.5">
      <c r="A675" s="171" t="s">
        <v>1186</v>
      </c>
      <c r="B675" s="172" t="s">
        <v>1193</v>
      </c>
      <c r="C675" s="173" t="s">
        <v>76</v>
      </c>
      <c r="D675" s="168">
        <v>317.10000000000002</v>
      </c>
      <c r="E675" s="169">
        <f t="shared" si="5"/>
        <v>317.10000000000002</v>
      </c>
      <c r="F675" s="173">
        <v>54.615789999999997</v>
      </c>
      <c r="G675" s="175" t="s">
        <v>69</v>
      </c>
    </row>
    <row r="676" spans="1:7" s="308" customFormat="1" ht="31.5">
      <c r="A676" s="171" t="s">
        <v>1194</v>
      </c>
      <c r="B676" s="177" t="s">
        <v>1195</v>
      </c>
      <c r="C676" s="173" t="s">
        <v>76</v>
      </c>
      <c r="D676" s="168">
        <v>1099.8240000000001</v>
      </c>
      <c r="E676" s="169">
        <f t="shared" si="5"/>
        <v>1099.8240000000001</v>
      </c>
      <c r="F676" s="173">
        <v>1099.8240000000001</v>
      </c>
      <c r="G676" s="175" t="s">
        <v>1107</v>
      </c>
    </row>
    <row r="677" spans="1:7" s="308" customFormat="1" ht="32.25" thickBot="1">
      <c r="A677" s="178" t="s">
        <v>1196</v>
      </c>
      <c r="B677" s="179" t="s">
        <v>1197</v>
      </c>
      <c r="C677" s="180" t="s">
        <v>76</v>
      </c>
      <c r="D677" s="309">
        <v>1490</v>
      </c>
      <c r="E677" s="160">
        <f t="shared" si="5"/>
        <v>1490</v>
      </c>
      <c r="F677" s="180">
        <v>1490</v>
      </c>
      <c r="G677" s="181" t="s">
        <v>1198</v>
      </c>
    </row>
    <row r="678" spans="1:7" s="308" customFormat="1" ht="63">
      <c r="A678" s="163" t="s">
        <v>1199</v>
      </c>
      <c r="B678" s="164" t="s">
        <v>89</v>
      </c>
      <c r="C678" s="182" t="s">
        <v>76</v>
      </c>
      <c r="D678" s="182">
        <v>1579</v>
      </c>
      <c r="E678" s="155">
        <f t="shared" si="5"/>
        <v>1579</v>
      </c>
      <c r="F678" s="165">
        <v>597.70057999999995</v>
      </c>
      <c r="G678" s="183" t="s">
        <v>1200</v>
      </c>
    </row>
    <row r="679" spans="1:7" s="308" customFormat="1" ht="31.5">
      <c r="A679" s="171" t="s">
        <v>311</v>
      </c>
      <c r="B679" s="172" t="s">
        <v>90</v>
      </c>
      <c r="C679" s="168" t="s">
        <v>76</v>
      </c>
      <c r="D679" s="168">
        <v>1432.713</v>
      </c>
      <c r="E679" s="169">
        <f t="shared" si="5"/>
        <v>1432.713</v>
      </c>
      <c r="F679" s="173">
        <v>349.23347999999999</v>
      </c>
      <c r="G679" s="175" t="s">
        <v>1201</v>
      </c>
    </row>
    <row r="680" spans="1:7" s="308" customFormat="1" ht="31.5">
      <c r="A680" s="184" t="s">
        <v>1202</v>
      </c>
      <c r="B680" s="172" t="s">
        <v>1203</v>
      </c>
      <c r="C680" s="185" t="s">
        <v>91</v>
      </c>
      <c r="D680" s="243">
        <v>450.84100000000001</v>
      </c>
      <c r="E680" s="169">
        <f t="shared" si="5"/>
        <v>450.84100000000001</v>
      </c>
      <c r="F680" s="185">
        <v>450.84041000000002</v>
      </c>
      <c r="G680" s="186" t="s">
        <v>1204</v>
      </c>
    </row>
    <row r="681" spans="1:7" s="308" customFormat="1" ht="47.25">
      <c r="A681" s="171" t="s">
        <v>313</v>
      </c>
      <c r="B681" s="172" t="s">
        <v>92</v>
      </c>
      <c r="C681" s="173" t="s">
        <v>91</v>
      </c>
      <c r="D681" s="168">
        <v>978.10599999999999</v>
      </c>
      <c r="E681" s="169">
        <f t="shared" si="5"/>
        <v>978.10599999999999</v>
      </c>
      <c r="F681" s="173">
        <v>971.54997000000003</v>
      </c>
      <c r="G681" s="175" t="s">
        <v>1205</v>
      </c>
    </row>
    <row r="682" spans="1:7" s="308" customFormat="1" ht="47.25">
      <c r="A682" s="171" t="s">
        <v>315</v>
      </c>
      <c r="B682" s="172" t="s">
        <v>93</v>
      </c>
      <c r="C682" s="173" t="s">
        <v>91</v>
      </c>
      <c r="D682" s="168">
        <v>735.20399999999995</v>
      </c>
      <c r="E682" s="169">
        <f t="shared" si="5"/>
        <v>735.20399999999995</v>
      </c>
      <c r="F682" s="173">
        <v>616.56844000000001</v>
      </c>
      <c r="G682" s="175" t="s">
        <v>1206</v>
      </c>
    </row>
    <row r="683" spans="1:7" s="308" customFormat="1" ht="94.5">
      <c r="A683" s="167" t="s">
        <v>316</v>
      </c>
      <c r="B683" s="74" t="s">
        <v>94</v>
      </c>
      <c r="C683" s="168" t="s">
        <v>91</v>
      </c>
      <c r="D683" s="168">
        <v>395.54599999999999</v>
      </c>
      <c r="E683" s="169">
        <f t="shared" si="5"/>
        <v>395.54599999999999</v>
      </c>
      <c r="F683" s="168">
        <v>395.46600000000001</v>
      </c>
      <c r="G683" s="187" t="s">
        <v>1207</v>
      </c>
    </row>
    <row r="684" spans="1:7" s="308" customFormat="1" ht="110.25">
      <c r="A684" s="167" t="s">
        <v>95</v>
      </c>
      <c r="B684" s="74" t="s">
        <v>96</v>
      </c>
      <c r="C684" s="168" t="s">
        <v>91</v>
      </c>
      <c r="D684" s="168">
        <v>378.33699999999999</v>
      </c>
      <c r="E684" s="169">
        <f t="shared" si="5"/>
        <v>378.33699999999999</v>
      </c>
      <c r="F684" s="168">
        <v>378.32708000000002</v>
      </c>
      <c r="G684" s="187" t="s">
        <v>1208</v>
      </c>
    </row>
    <row r="685" spans="1:7" s="308" customFormat="1" ht="78.75">
      <c r="A685" s="171" t="s">
        <v>317</v>
      </c>
      <c r="B685" s="172" t="s">
        <v>97</v>
      </c>
      <c r="C685" s="173" t="s">
        <v>91</v>
      </c>
      <c r="D685" s="168">
        <v>384.18599999999998</v>
      </c>
      <c r="E685" s="169">
        <f t="shared" si="5"/>
        <v>384.18599999999998</v>
      </c>
      <c r="F685" s="173">
        <v>384.17779000000002</v>
      </c>
      <c r="G685" s="187" t="s">
        <v>1209</v>
      </c>
    </row>
    <row r="686" spans="1:7" s="308" customFormat="1" ht="31.5">
      <c r="A686" s="171" t="s">
        <v>318</v>
      </c>
      <c r="B686" s="172" t="s">
        <v>98</v>
      </c>
      <c r="C686" s="173" t="s">
        <v>91</v>
      </c>
      <c r="D686" s="168">
        <v>61.572000000000003</v>
      </c>
      <c r="E686" s="169">
        <f t="shared" si="5"/>
        <v>61.572000000000003</v>
      </c>
      <c r="F686" s="173">
        <v>61.572000000000003</v>
      </c>
      <c r="G686" s="175" t="s">
        <v>314</v>
      </c>
    </row>
    <row r="687" spans="1:7" s="308" customFormat="1">
      <c r="A687" s="171" t="s">
        <v>1210</v>
      </c>
      <c r="B687" s="172" t="s">
        <v>99</v>
      </c>
      <c r="C687" s="173" t="s">
        <v>91</v>
      </c>
      <c r="D687" s="168">
        <v>58.395000000000003</v>
      </c>
      <c r="E687" s="169">
        <f t="shared" si="5"/>
        <v>58.395000000000003</v>
      </c>
      <c r="F687" s="173">
        <v>58.39</v>
      </c>
      <c r="G687" s="175" t="s">
        <v>1211</v>
      </c>
    </row>
    <row r="688" spans="1:7" s="308" customFormat="1" ht="47.25">
      <c r="A688" s="171" t="s">
        <v>1212</v>
      </c>
      <c r="B688" s="172" t="s">
        <v>100</v>
      </c>
      <c r="C688" s="173" t="s">
        <v>91</v>
      </c>
      <c r="D688" s="168">
        <v>566.495</v>
      </c>
      <c r="E688" s="169">
        <f t="shared" si="5"/>
        <v>566.495</v>
      </c>
      <c r="F688" s="173">
        <v>169.23193000000001</v>
      </c>
      <c r="G688" s="188" t="s">
        <v>1213</v>
      </c>
    </row>
    <row r="689" spans="1:7" s="308" customFormat="1">
      <c r="A689" s="171" t="s">
        <v>1214</v>
      </c>
      <c r="B689" s="172" t="s">
        <v>101</v>
      </c>
      <c r="C689" s="173" t="s">
        <v>91</v>
      </c>
      <c r="D689" s="168">
        <v>83.846999999999994</v>
      </c>
      <c r="E689" s="169">
        <f t="shared" si="5"/>
        <v>83.846999999999994</v>
      </c>
      <c r="F689" s="173">
        <v>83.846639999999994</v>
      </c>
      <c r="G689" s="175" t="s">
        <v>1215</v>
      </c>
    </row>
    <row r="690" spans="1:7" s="308" customFormat="1" ht="31.5">
      <c r="A690" s="171" t="s">
        <v>1216</v>
      </c>
      <c r="B690" s="172" t="s">
        <v>102</v>
      </c>
      <c r="C690" s="173" t="s">
        <v>91</v>
      </c>
      <c r="D690" s="168">
        <v>80.591999999999999</v>
      </c>
      <c r="E690" s="169">
        <f t="shared" si="5"/>
        <v>80.591999999999999</v>
      </c>
      <c r="F690" s="173">
        <v>80.591679999999997</v>
      </c>
      <c r="G690" s="175" t="s">
        <v>1217</v>
      </c>
    </row>
    <row r="691" spans="1:7" s="308" customFormat="1">
      <c r="A691" s="171" t="s">
        <v>1218</v>
      </c>
      <c r="B691" s="172" t="s">
        <v>103</v>
      </c>
      <c r="C691" s="173" t="s">
        <v>91</v>
      </c>
      <c r="D691" s="168">
        <v>74.212000000000003</v>
      </c>
      <c r="E691" s="169">
        <f t="shared" si="5"/>
        <v>74.212000000000003</v>
      </c>
      <c r="F691" s="173">
        <v>74.212000000000003</v>
      </c>
      <c r="G691" s="175" t="s">
        <v>967</v>
      </c>
    </row>
    <row r="692" spans="1:7" s="308" customFormat="1" ht="63">
      <c r="A692" s="171" t="s">
        <v>1219</v>
      </c>
      <c r="B692" s="172" t="s">
        <v>104</v>
      </c>
      <c r="C692" s="173" t="s">
        <v>91</v>
      </c>
      <c r="D692" s="168">
        <v>722.9</v>
      </c>
      <c r="E692" s="169">
        <f t="shared" si="5"/>
        <v>722.9</v>
      </c>
      <c r="F692" s="173">
        <v>722.89670000000001</v>
      </c>
      <c r="G692" s="187" t="s">
        <v>1220</v>
      </c>
    </row>
    <row r="693" spans="1:7" s="308" customFormat="1" ht="78.75">
      <c r="A693" s="171" t="s">
        <v>1221</v>
      </c>
      <c r="B693" s="172" t="s">
        <v>105</v>
      </c>
      <c r="C693" s="173" t="s">
        <v>91</v>
      </c>
      <c r="D693" s="168">
        <v>860.25599999999997</v>
      </c>
      <c r="E693" s="169">
        <f t="shared" si="5"/>
        <v>860.25599999999997</v>
      </c>
      <c r="F693" s="173">
        <v>636.55057999999997</v>
      </c>
      <c r="G693" s="187" t="s">
        <v>1222</v>
      </c>
    </row>
    <row r="694" spans="1:7" s="310" customFormat="1">
      <c r="A694" s="171" t="s">
        <v>1223</v>
      </c>
      <c r="B694" s="172" t="s">
        <v>106</v>
      </c>
      <c r="C694" s="173" t="s">
        <v>91</v>
      </c>
      <c r="D694" s="168">
        <v>74.212999999999994</v>
      </c>
      <c r="E694" s="169">
        <f t="shared" si="5"/>
        <v>74.212999999999994</v>
      </c>
      <c r="F694" s="168">
        <v>74.212249999999997</v>
      </c>
      <c r="G694" s="175" t="s">
        <v>568</v>
      </c>
    </row>
    <row r="695" spans="1:7" s="308" customFormat="1">
      <c r="A695" s="171" t="s">
        <v>1224</v>
      </c>
      <c r="B695" s="172" t="s">
        <v>107</v>
      </c>
      <c r="C695" s="173" t="s">
        <v>91</v>
      </c>
      <c r="D695" s="168">
        <v>915.90300000000002</v>
      </c>
      <c r="E695" s="169">
        <f t="shared" si="5"/>
        <v>915.90300000000002</v>
      </c>
      <c r="F695" s="173">
        <v>690.13756999999998</v>
      </c>
      <c r="G695" s="175" t="s">
        <v>568</v>
      </c>
    </row>
    <row r="696" spans="1:7" s="308" customFormat="1" ht="31.5">
      <c r="A696" s="171" t="s">
        <v>1225</v>
      </c>
      <c r="B696" s="172" t="s">
        <v>108</v>
      </c>
      <c r="C696" s="173" t="s">
        <v>91</v>
      </c>
      <c r="D696" s="168">
        <v>80.591999999999999</v>
      </c>
      <c r="E696" s="169">
        <f t="shared" si="5"/>
        <v>80.591999999999999</v>
      </c>
      <c r="F696" s="173">
        <v>80.591679999999997</v>
      </c>
      <c r="G696" s="175" t="s">
        <v>1226</v>
      </c>
    </row>
    <row r="697" spans="1:7" s="308" customFormat="1" ht="31.5">
      <c r="A697" s="171" t="s">
        <v>1227</v>
      </c>
      <c r="B697" s="172" t="s">
        <v>1228</v>
      </c>
      <c r="C697" s="173" t="s">
        <v>91</v>
      </c>
      <c r="D697" s="168">
        <v>1490</v>
      </c>
      <c r="E697" s="169">
        <f t="shared" si="5"/>
        <v>1490</v>
      </c>
      <c r="F697" s="173">
        <v>1490</v>
      </c>
      <c r="G697" s="175" t="s">
        <v>1229</v>
      </c>
    </row>
    <row r="698" spans="1:7" s="308" customFormat="1">
      <c r="A698" s="171" t="s">
        <v>1230</v>
      </c>
      <c r="B698" s="172" t="s">
        <v>109</v>
      </c>
      <c r="C698" s="173" t="s">
        <v>91</v>
      </c>
      <c r="D698" s="168">
        <v>630.76</v>
      </c>
      <c r="E698" s="169">
        <f t="shared" si="5"/>
        <v>630.76</v>
      </c>
      <c r="F698" s="173">
        <v>374.30279999999999</v>
      </c>
      <c r="G698" s="175" t="s">
        <v>1231</v>
      </c>
    </row>
    <row r="699" spans="1:7" s="308" customFormat="1" ht="47.25">
      <c r="A699" s="171" t="s">
        <v>1232</v>
      </c>
      <c r="B699" s="172" t="s">
        <v>110</v>
      </c>
      <c r="C699" s="173" t="s">
        <v>91</v>
      </c>
      <c r="D699" s="168">
        <v>927.976</v>
      </c>
      <c r="E699" s="169">
        <f t="shared" si="5"/>
        <v>927.976</v>
      </c>
      <c r="F699" s="173">
        <v>919.61940000000004</v>
      </c>
      <c r="G699" s="175" t="s">
        <v>1233</v>
      </c>
    </row>
    <row r="700" spans="1:7" s="308" customFormat="1" ht="31.5">
      <c r="A700" s="171" t="s">
        <v>1234</v>
      </c>
      <c r="B700" s="172" t="s">
        <v>111</v>
      </c>
      <c r="C700" s="173" t="s">
        <v>91</v>
      </c>
      <c r="D700" s="168">
        <v>1058.48</v>
      </c>
      <c r="E700" s="169">
        <f t="shared" si="5"/>
        <v>1058.48</v>
      </c>
      <c r="F700" s="173">
        <v>1024.87023</v>
      </c>
      <c r="G700" s="175" t="s">
        <v>1235</v>
      </c>
    </row>
    <row r="701" spans="1:7" s="308" customFormat="1" ht="31.5">
      <c r="A701" s="171" t="s">
        <v>1236</v>
      </c>
      <c r="B701" s="172" t="s">
        <v>112</v>
      </c>
      <c r="C701" s="173" t="s">
        <v>91</v>
      </c>
      <c r="D701" s="168">
        <v>74.802000000000007</v>
      </c>
      <c r="E701" s="169">
        <f t="shared" si="5"/>
        <v>74.802000000000007</v>
      </c>
      <c r="F701" s="173">
        <v>74.797809999999998</v>
      </c>
      <c r="G701" s="175" t="s">
        <v>1184</v>
      </c>
    </row>
    <row r="702" spans="1:7" s="308" customFormat="1" ht="47.25">
      <c r="A702" s="171" t="s">
        <v>319</v>
      </c>
      <c r="B702" s="172" t="s">
        <v>113</v>
      </c>
      <c r="C702" s="173" t="s">
        <v>91</v>
      </c>
      <c r="D702" s="168">
        <v>651.37400000000002</v>
      </c>
      <c r="E702" s="169">
        <f t="shared" si="5"/>
        <v>651.37400000000002</v>
      </c>
      <c r="F702" s="173">
        <v>607.90894000000003</v>
      </c>
      <c r="G702" s="187" t="s">
        <v>1237</v>
      </c>
    </row>
    <row r="703" spans="1:7" s="308" customFormat="1">
      <c r="A703" s="171" t="s">
        <v>1238</v>
      </c>
      <c r="B703" s="172" t="s">
        <v>114</v>
      </c>
      <c r="C703" s="173" t="s">
        <v>91</v>
      </c>
      <c r="D703" s="168">
        <v>61.426000000000002</v>
      </c>
      <c r="E703" s="169">
        <f t="shared" si="5"/>
        <v>61.426000000000002</v>
      </c>
      <c r="F703" s="173">
        <v>61.420310000000001</v>
      </c>
      <c r="G703" s="175" t="s">
        <v>1211</v>
      </c>
    </row>
    <row r="704" spans="1:7" s="308" customFormat="1">
      <c r="A704" s="171" t="s">
        <v>1239</v>
      </c>
      <c r="B704" s="172" t="s">
        <v>1240</v>
      </c>
      <c r="C704" s="173" t="s">
        <v>91</v>
      </c>
      <c r="D704" s="168">
        <v>1490</v>
      </c>
      <c r="E704" s="169">
        <f t="shared" si="5"/>
        <v>1490</v>
      </c>
      <c r="F704" s="173">
        <v>1490</v>
      </c>
      <c r="G704" s="175" t="s">
        <v>69</v>
      </c>
    </row>
    <row r="705" spans="1:7" s="308" customFormat="1">
      <c r="A705" s="171" t="s">
        <v>1241</v>
      </c>
      <c r="B705" s="172" t="s">
        <v>115</v>
      </c>
      <c r="C705" s="173" t="s">
        <v>91</v>
      </c>
      <c r="D705" s="168">
        <v>105.40900000000001</v>
      </c>
      <c r="E705" s="169">
        <f t="shared" si="5"/>
        <v>105.40900000000001</v>
      </c>
      <c r="F705" s="173">
        <v>105.40900000000001</v>
      </c>
      <c r="G705" s="175" t="s">
        <v>1215</v>
      </c>
    </row>
    <row r="706" spans="1:7" s="308" customFormat="1" ht="47.25">
      <c r="A706" s="171" t="s">
        <v>320</v>
      </c>
      <c r="B706" s="172" t="s">
        <v>116</v>
      </c>
      <c r="C706" s="173" t="s">
        <v>91</v>
      </c>
      <c r="D706" s="168">
        <v>1135.963</v>
      </c>
      <c r="E706" s="169">
        <f t="shared" si="5"/>
        <v>1135.963</v>
      </c>
      <c r="F706" s="173">
        <v>1073.56908</v>
      </c>
      <c r="G706" s="175" t="s">
        <v>1242</v>
      </c>
    </row>
    <row r="707" spans="1:7" s="308" customFormat="1" ht="47.25">
      <c r="A707" s="171" t="s">
        <v>321</v>
      </c>
      <c r="B707" s="172" t="s">
        <v>1243</v>
      </c>
      <c r="C707" s="173" t="s">
        <v>91</v>
      </c>
      <c r="D707" s="168">
        <v>676.62699999999995</v>
      </c>
      <c r="E707" s="169">
        <f t="shared" si="5"/>
        <v>676.62699999999995</v>
      </c>
      <c r="F707" s="173">
        <v>602.20883000000003</v>
      </c>
      <c r="G707" s="187" t="s">
        <v>1244</v>
      </c>
    </row>
    <row r="708" spans="1:7" s="308" customFormat="1" ht="31.5">
      <c r="A708" s="189" t="s">
        <v>322</v>
      </c>
      <c r="B708" s="190" t="s">
        <v>117</v>
      </c>
      <c r="C708" s="191" t="s">
        <v>91</v>
      </c>
      <c r="D708" s="311">
        <v>866.67200000000003</v>
      </c>
      <c r="E708" s="169">
        <f t="shared" si="5"/>
        <v>866.67200000000003</v>
      </c>
      <c r="F708" s="191">
        <v>790.77745000000004</v>
      </c>
      <c r="G708" s="192" t="s">
        <v>308</v>
      </c>
    </row>
    <row r="709" spans="1:7" s="308" customFormat="1">
      <c r="A709" s="193" t="s">
        <v>1245</v>
      </c>
      <c r="B709" s="21" t="s">
        <v>323</v>
      </c>
      <c r="C709" s="194" t="s">
        <v>167</v>
      </c>
      <c r="D709" s="168">
        <v>1766</v>
      </c>
      <c r="E709" s="169">
        <f t="shared" si="5"/>
        <v>1766</v>
      </c>
      <c r="F709" s="194">
        <v>166.81698</v>
      </c>
      <c r="G709" s="187" t="s">
        <v>1246</v>
      </c>
    </row>
    <row r="710" spans="1:7" s="308" customFormat="1" ht="31.5">
      <c r="A710" s="193" t="s">
        <v>1232</v>
      </c>
      <c r="B710" s="21" t="s">
        <v>324</v>
      </c>
      <c r="C710" s="194" t="s">
        <v>167</v>
      </c>
      <c r="D710" s="168">
        <v>1265.2</v>
      </c>
      <c r="E710" s="169">
        <f t="shared" si="5"/>
        <v>1265.2</v>
      </c>
      <c r="F710" s="194">
        <v>1022.80808</v>
      </c>
      <c r="G710" s="187" t="s">
        <v>1247</v>
      </c>
    </row>
    <row r="711" spans="1:7" s="308" customFormat="1" ht="31.5">
      <c r="A711" s="193" t="s">
        <v>1248</v>
      </c>
      <c r="B711" s="21" t="s">
        <v>1249</v>
      </c>
      <c r="C711" s="194" t="s">
        <v>167</v>
      </c>
      <c r="D711" s="168">
        <v>695.76400000000001</v>
      </c>
      <c r="E711" s="169">
        <f t="shared" si="5"/>
        <v>695.76400000000001</v>
      </c>
      <c r="F711" s="194">
        <v>695.76400000000001</v>
      </c>
      <c r="G711" s="175" t="s">
        <v>69</v>
      </c>
    </row>
    <row r="712" spans="1:7" s="308" customFormat="1" ht="47.25">
      <c r="A712" s="193" t="s">
        <v>1250</v>
      </c>
      <c r="B712" s="21" t="s">
        <v>1251</v>
      </c>
      <c r="C712" s="194" t="s">
        <v>167</v>
      </c>
      <c r="D712" s="168">
        <v>1434.16</v>
      </c>
      <c r="E712" s="169">
        <f t="shared" si="5"/>
        <v>1434.16</v>
      </c>
      <c r="F712" s="194">
        <v>1434.155</v>
      </c>
      <c r="G712" s="187" t="s">
        <v>1252</v>
      </c>
    </row>
    <row r="713" spans="1:7" s="308" customFormat="1" ht="63">
      <c r="A713" s="193" t="s">
        <v>1253</v>
      </c>
      <c r="B713" s="21" t="s">
        <v>1254</v>
      </c>
      <c r="C713" s="194" t="s">
        <v>167</v>
      </c>
      <c r="D713" s="168">
        <v>215.31899999999999</v>
      </c>
      <c r="E713" s="169">
        <f t="shared" si="5"/>
        <v>215.31899999999999</v>
      </c>
      <c r="F713" s="194">
        <v>214.42699999999999</v>
      </c>
      <c r="G713" s="187" t="s">
        <v>1255</v>
      </c>
    </row>
    <row r="714" spans="1:7" s="308" customFormat="1" ht="16.5" thickBot="1">
      <c r="A714" s="195" t="s">
        <v>1256</v>
      </c>
      <c r="B714" s="196" t="s">
        <v>325</v>
      </c>
      <c r="C714" s="197" t="s">
        <v>167</v>
      </c>
      <c r="D714" s="309">
        <v>1490.001</v>
      </c>
      <c r="E714" s="160">
        <f t="shared" si="5"/>
        <v>1490.001</v>
      </c>
      <c r="F714" s="197">
        <v>1490</v>
      </c>
      <c r="G714" s="198" t="s">
        <v>1257</v>
      </c>
    </row>
    <row r="715" spans="1:7" s="308" customFormat="1" ht="47.25">
      <c r="A715" s="163" t="s">
        <v>1258</v>
      </c>
      <c r="B715" s="164" t="s">
        <v>118</v>
      </c>
      <c r="C715" s="165" t="s">
        <v>91</v>
      </c>
      <c r="D715" s="182">
        <v>230.87200000000001</v>
      </c>
      <c r="E715" s="155">
        <f t="shared" si="5"/>
        <v>230.87200000000001</v>
      </c>
      <c r="F715" s="165">
        <v>195.56039999999999</v>
      </c>
      <c r="G715" s="183" t="s">
        <v>1259</v>
      </c>
    </row>
    <row r="716" spans="1:7" s="308" customFormat="1" ht="31.5">
      <c r="A716" s="171" t="s">
        <v>1260</v>
      </c>
      <c r="B716" s="172" t="s">
        <v>119</v>
      </c>
      <c r="C716" s="173" t="s">
        <v>91</v>
      </c>
      <c r="D716" s="168">
        <v>332.6</v>
      </c>
      <c r="E716" s="169">
        <f t="shared" si="5"/>
        <v>332.6</v>
      </c>
      <c r="F716" s="173">
        <v>328.31256000000002</v>
      </c>
      <c r="G716" s="175" t="s">
        <v>567</v>
      </c>
    </row>
    <row r="717" spans="1:7" s="308" customFormat="1" ht="31.5">
      <c r="A717" s="171" t="s">
        <v>1261</v>
      </c>
      <c r="B717" s="172" t="s">
        <v>1262</v>
      </c>
      <c r="C717" s="173" t="s">
        <v>91</v>
      </c>
      <c r="D717" s="168">
        <v>170.803</v>
      </c>
      <c r="E717" s="169">
        <f t="shared" si="5"/>
        <v>170.803</v>
      </c>
      <c r="F717" s="173">
        <v>163.44127</v>
      </c>
      <c r="G717" s="175" t="s">
        <v>567</v>
      </c>
    </row>
    <row r="718" spans="1:7" s="308" customFormat="1" ht="63.75" thickBot="1">
      <c r="A718" s="178" t="s">
        <v>1263</v>
      </c>
      <c r="B718" s="199" t="s">
        <v>120</v>
      </c>
      <c r="C718" s="180" t="s">
        <v>91</v>
      </c>
      <c r="D718" s="309">
        <v>908.59400000000005</v>
      </c>
      <c r="E718" s="160">
        <f t="shared" si="5"/>
        <v>908.59400000000005</v>
      </c>
      <c r="F718" s="180">
        <v>835.31848000000002</v>
      </c>
      <c r="G718" s="181" t="s">
        <v>1264</v>
      </c>
    </row>
    <row r="719" spans="1:7" s="308" customFormat="1" ht="63.75" thickBot="1">
      <c r="A719" s="200" t="s">
        <v>71</v>
      </c>
      <c r="B719" s="201" t="s">
        <v>72</v>
      </c>
      <c r="C719" s="202" t="s">
        <v>73</v>
      </c>
      <c r="D719" s="202">
        <v>636</v>
      </c>
      <c r="E719" s="203">
        <f t="shared" si="5"/>
        <v>636</v>
      </c>
      <c r="F719" s="202">
        <v>311.0856</v>
      </c>
      <c r="G719" s="204" t="s">
        <v>1265</v>
      </c>
    </row>
    <row r="720" spans="1:7" s="308" customFormat="1" ht="79.5" thickBot="1">
      <c r="A720" s="200" t="s">
        <v>74</v>
      </c>
      <c r="B720" s="201" t="s">
        <v>75</v>
      </c>
      <c r="C720" s="202" t="s">
        <v>76</v>
      </c>
      <c r="D720" s="202">
        <v>346.40100000000001</v>
      </c>
      <c r="E720" s="203">
        <f t="shared" si="5"/>
        <v>346.40100000000001</v>
      </c>
      <c r="F720" s="202">
        <v>346.34706999999997</v>
      </c>
      <c r="G720" s="204" t="s">
        <v>67</v>
      </c>
    </row>
    <row r="721" spans="1:7" s="308" customFormat="1" ht="63">
      <c r="A721" s="163" t="s">
        <v>126</v>
      </c>
      <c r="B721" s="205" t="s">
        <v>127</v>
      </c>
      <c r="C721" s="165" t="s">
        <v>91</v>
      </c>
      <c r="D721" s="182">
        <v>8046.9170000000004</v>
      </c>
      <c r="E721" s="155">
        <f t="shared" si="5"/>
        <v>8046.9170000000004</v>
      </c>
      <c r="F721" s="165">
        <v>7869.1216700000004</v>
      </c>
      <c r="G721" s="183" t="s">
        <v>1266</v>
      </c>
    </row>
    <row r="722" spans="1:7" s="308" customFormat="1" ht="48" thickBot="1">
      <c r="A722" s="178" t="s">
        <v>126</v>
      </c>
      <c r="B722" s="206" t="s">
        <v>1267</v>
      </c>
      <c r="C722" s="180" t="s">
        <v>91</v>
      </c>
      <c r="D722" s="309">
        <v>290.029</v>
      </c>
      <c r="E722" s="160">
        <f t="shared" si="5"/>
        <v>290.029</v>
      </c>
      <c r="F722" s="180">
        <v>290.029</v>
      </c>
      <c r="G722" s="181" t="s">
        <v>1268</v>
      </c>
    </row>
    <row r="723" spans="1:7" s="308" customFormat="1" ht="32.25" thickBot="1">
      <c r="A723" s="207"/>
      <c r="B723" s="208" t="s">
        <v>1269</v>
      </c>
      <c r="C723" s="209" t="s">
        <v>91</v>
      </c>
      <c r="D723" s="312">
        <v>0</v>
      </c>
      <c r="E723" s="210">
        <f t="shared" si="5"/>
        <v>0</v>
      </c>
      <c r="F723" s="209"/>
      <c r="G723" s="209"/>
    </row>
    <row r="724" spans="1:7" s="308" customFormat="1" ht="78.75">
      <c r="A724" s="211" t="s">
        <v>1270</v>
      </c>
      <c r="B724" s="212" t="s">
        <v>1271</v>
      </c>
      <c r="C724" s="213" t="s">
        <v>91</v>
      </c>
      <c r="D724" s="182">
        <v>1460</v>
      </c>
      <c r="E724" s="155">
        <f t="shared" si="5"/>
        <v>1460</v>
      </c>
      <c r="F724" s="213">
        <v>950.98212999999998</v>
      </c>
      <c r="G724" s="214"/>
    </row>
    <row r="725" spans="1:7" s="308" customFormat="1" ht="79.5" thickBot="1">
      <c r="A725" s="195" t="s">
        <v>1270</v>
      </c>
      <c r="B725" s="196" t="s">
        <v>1272</v>
      </c>
      <c r="C725" s="197" t="s">
        <v>91</v>
      </c>
      <c r="D725" s="309">
        <v>2558.9490000000001</v>
      </c>
      <c r="E725" s="215">
        <f t="shared" si="5"/>
        <v>2558.9490000000001</v>
      </c>
      <c r="F725" s="197">
        <v>2307.3273100000001</v>
      </c>
      <c r="G725" s="216" t="s">
        <v>1273</v>
      </c>
    </row>
    <row r="726" spans="1:7" s="308" customFormat="1" ht="16.5" thickBot="1">
      <c r="A726" s="217" t="s">
        <v>1274</v>
      </c>
      <c r="B726" s="218" t="s">
        <v>1275</v>
      </c>
      <c r="C726" s="218" t="s">
        <v>1276</v>
      </c>
      <c r="D726" s="202">
        <v>5</v>
      </c>
      <c r="E726" s="203">
        <f t="shared" si="5"/>
        <v>5</v>
      </c>
      <c r="F726" s="202"/>
      <c r="G726" s="204"/>
    </row>
    <row r="727" spans="1:7" s="308" customFormat="1" ht="47.25">
      <c r="A727" s="163" t="s">
        <v>121</v>
      </c>
      <c r="B727" s="164" t="s">
        <v>122</v>
      </c>
      <c r="C727" s="219" t="s">
        <v>79</v>
      </c>
      <c r="D727" s="182">
        <v>2000.046</v>
      </c>
      <c r="E727" s="155">
        <f t="shared" si="5"/>
        <v>2000.046</v>
      </c>
      <c r="F727" s="182">
        <v>1955.6709900000001</v>
      </c>
      <c r="G727" s="313" t="s">
        <v>1277</v>
      </c>
    </row>
    <row r="728" spans="1:7" s="308" customFormat="1" ht="47.25">
      <c r="A728" s="171" t="s">
        <v>124</v>
      </c>
      <c r="B728" s="176" t="s">
        <v>125</v>
      </c>
      <c r="C728" s="220" t="s">
        <v>79</v>
      </c>
      <c r="D728" s="168">
        <v>5</v>
      </c>
      <c r="E728" s="169">
        <f t="shared" si="5"/>
        <v>5</v>
      </c>
      <c r="F728" s="173"/>
      <c r="G728" s="175"/>
    </row>
    <row r="729" spans="1:7" s="308" customFormat="1" ht="31.5">
      <c r="A729" s="171" t="s">
        <v>1274</v>
      </c>
      <c r="B729" s="190" t="s">
        <v>1278</v>
      </c>
      <c r="C729" s="221" t="s">
        <v>1279</v>
      </c>
      <c r="D729" s="168">
        <v>50</v>
      </c>
      <c r="E729" s="169">
        <f t="shared" si="5"/>
        <v>50</v>
      </c>
      <c r="F729" s="173">
        <v>32.176000000000002</v>
      </c>
      <c r="G729" s="175" t="s">
        <v>1280</v>
      </c>
    </row>
    <row r="730" spans="1:7" s="308" customFormat="1" ht="47.25">
      <c r="A730" s="171" t="s">
        <v>326</v>
      </c>
      <c r="B730" s="190" t="s">
        <v>327</v>
      </c>
      <c r="C730" s="221" t="s">
        <v>328</v>
      </c>
      <c r="D730" s="168">
        <v>2979.6588000000002</v>
      </c>
      <c r="E730" s="169">
        <f t="shared" si="5"/>
        <v>2979.6588000000002</v>
      </c>
      <c r="F730" s="173">
        <v>1836.79162</v>
      </c>
      <c r="G730" s="175" t="s">
        <v>1281</v>
      </c>
    </row>
    <row r="731" spans="1:7" s="308" customFormat="1" ht="63.75" thickBot="1">
      <c r="A731" s="178" t="s">
        <v>123</v>
      </c>
      <c r="B731" s="199" t="s">
        <v>329</v>
      </c>
      <c r="C731" s="222" t="s">
        <v>79</v>
      </c>
      <c r="D731" s="309">
        <v>1000</v>
      </c>
      <c r="E731" s="160">
        <f t="shared" si="5"/>
        <v>1000</v>
      </c>
      <c r="F731" s="180">
        <v>999.79978000000006</v>
      </c>
      <c r="G731" s="181" t="s">
        <v>1282</v>
      </c>
    </row>
    <row r="732" spans="1:7" s="308" customFormat="1" ht="63">
      <c r="A732" s="163" t="s">
        <v>128</v>
      </c>
      <c r="B732" s="164" t="s">
        <v>129</v>
      </c>
      <c r="C732" s="219" t="s">
        <v>332</v>
      </c>
      <c r="D732" s="182">
        <v>306.52</v>
      </c>
      <c r="E732" s="155">
        <f t="shared" si="5"/>
        <v>306.52</v>
      </c>
      <c r="F732" s="165">
        <v>306.52</v>
      </c>
      <c r="G732" s="183" t="s">
        <v>1011</v>
      </c>
    </row>
    <row r="733" spans="1:7" s="308" customFormat="1" ht="63">
      <c r="A733" s="171" t="s">
        <v>130</v>
      </c>
      <c r="B733" s="190" t="s">
        <v>131</v>
      </c>
      <c r="C733" s="221" t="s">
        <v>79</v>
      </c>
      <c r="D733" s="168"/>
      <c r="E733" s="169">
        <f t="shared" si="5"/>
        <v>0</v>
      </c>
      <c r="F733" s="173"/>
      <c r="G733" s="175"/>
    </row>
    <row r="734" spans="1:7" s="308" customFormat="1" ht="63">
      <c r="A734" s="223" t="s">
        <v>134</v>
      </c>
      <c r="B734" s="21" t="s">
        <v>135</v>
      </c>
      <c r="C734" s="21" t="s">
        <v>33</v>
      </c>
      <c r="D734" s="168">
        <v>1686.1389999999999</v>
      </c>
      <c r="E734" s="169">
        <f t="shared" ref="E734:E745" si="6">D734</f>
        <v>1686.1389999999999</v>
      </c>
      <c r="F734" s="173">
        <v>1473.6801499999999</v>
      </c>
      <c r="G734" s="175" t="s">
        <v>333</v>
      </c>
    </row>
    <row r="735" spans="1:7" s="308" customFormat="1" ht="63">
      <c r="A735" s="223" t="s">
        <v>1283</v>
      </c>
      <c r="B735" s="21" t="s">
        <v>1284</v>
      </c>
      <c r="C735" s="173" t="s">
        <v>79</v>
      </c>
      <c r="D735" s="168">
        <v>847.94500000000005</v>
      </c>
      <c r="E735" s="169">
        <f t="shared" si="6"/>
        <v>847.94500000000005</v>
      </c>
      <c r="F735" s="173">
        <v>724.15105000000005</v>
      </c>
      <c r="G735" s="175" t="s">
        <v>1285</v>
      </c>
    </row>
    <row r="736" spans="1:7" s="308" customFormat="1" ht="63.75" thickBot="1">
      <c r="A736" s="224" t="s">
        <v>1286</v>
      </c>
      <c r="B736" s="196" t="s">
        <v>1287</v>
      </c>
      <c r="C736" s="180" t="s">
        <v>79</v>
      </c>
      <c r="D736" s="309">
        <v>847.94500000000005</v>
      </c>
      <c r="E736" s="160">
        <f t="shared" si="6"/>
        <v>847.94500000000005</v>
      </c>
      <c r="F736" s="180">
        <v>711.50548000000003</v>
      </c>
      <c r="G736" s="181" t="s">
        <v>1285</v>
      </c>
    </row>
    <row r="737" spans="1:7" s="308" customFormat="1" ht="47.25">
      <c r="A737" s="225" t="s">
        <v>132</v>
      </c>
      <c r="B737" s="226" t="s">
        <v>133</v>
      </c>
      <c r="C737" s="227" t="s">
        <v>330</v>
      </c>
      <c r="D737" s="228">
        <v>288.15699999999998</v>
      </c>
      <c r="E737" s="155">
        <f>D737</f>
        <v>288.15699999999998</v>
      </c>
      <c r="F737" s="165">
        <v>287.77699999999999</v>
      </c>
      <c r="G737" s="183" t="s">
        <v>331</v>
      </c>
    </row>
    <row r="738" spans="1:7" s="308" customFormat="1" ht="63">
      <c r="A738" s="171" t="s">
        <v>77</v>
      </c>
      <c r="B738" s="229" t="s">
        <v>78</v>
      </c>
      <c r="C738" s="230" t="s">
        <v>79</v>
      </c>
      <c r="D738" s="168">
        <v>5</v>
      </c>
      <c r="E738" s="169">
        <f t="shared" si="6"/>
        <v>5</v>
      </c>
      <c r="F738" s="173"/>
      <c r="G738" s="175"/>
    </row>
    <row r="739" spans="1:7" s="308" customFormat="1" ht="142.5" thickBot="1">
      <c r="A739" s="178" t="s">
        <v>1288</v>
      </c>
      <c r="B739" s="206" t="s">
        <v>334</v>
      </c>
      <c r="C739" s="231" t="s">
        <v>79</v>
      </c>
      <c r="D739" s="309">
        <v>5</v>
      </c>
      <c r="E739" s="160">
        <f t="shared" si="6"/>
        <v>5</v>
      </c>
      <c r="F739" s="180"/>
      <c r="G739" s="181"/>
    </row>
    <row r="740" spans="1:7" s="308" customFormat="1" ht="63">
      <c r="A740" s="232"/>
      <c r="B740" s="233" t="s">
        <v>80</v>
      </c>
      <c r="C740" s="234" t="s">
        <v>79</v>
      </c>
      <c r="D740" s="314">
        <v>295</v>
      </c>
      <c r="E740" s="235">
        <f t="shared" si="6"/>
        <v>295</v>
      </c>
      <c r="F740" s="315">
        <v>295</v>
      </c>
      <c r="G740" s="236" t="s">
        <v>1289</v>
      </c>
    </row>
    <row r="741" spans="1:7" s="308" customFormat="1" ht="47.25">
      <c r="A741" s="237" t="s">
        <v>1290</v>
      </c>
      <c r="B741" s="238" t="s">
        <v>1291</v>
      </c>
      <c r="C741" s="239" t="s">
        <v>1279</v>
      </c>
      <c r="D741" s="168">
        <v>72.935000000000002</v>
      </c>
      <c r="E741" s="240">
        <f t="shared" si="6"/>
        <v>72.935000000000002</v>
      </c>
      <c r="F741" s="194"/>
      <c r="G741" s="241"/>
    </row>
    <row r="742" spans="1:7" s="308" customFormat="1" ht="63">
      <c r="A742" s="237" t="s">
        <v>1292</v>
      </c>
      <c r="B742" s="21" t="s">
        <v>336</v>
      </c>
      <c r="C742" s="242" t="s">
        <v>79</v>
      </c>
      <c r="D742" s="243">
        <v>520</v>
      </c>
      <c r="E742" s="243">
        <f t="shared" si="6"/>
        <v>520</v>
      </c>
      <c r="F742" s="243">
        <v>520</v>
      </c>
      <c r="G742" s="244" t="s">
        <v>1293</v>
      </c>
    </row>
    <row r="743" spans="1:7" s="308" customFormat="1" ht="63.75" thickBot="1">
      <c r="A743" s="195" t="s">
        <v>1294</v>
      </c>
      <c r="B743" s="196" t="s">
        <v>1295</v>
      </c>
      <c r="C743" s="196" t="s">
        <v>79</v>
      </c>
      <c r="D743" s="309">
        <v>250</v>
      </c>
      <c r="E743" s="215">
        <f t="shared" si="6"/>
        <v>250</v>
      </c>
      <c r="F743" s="197">
        <v>246.33989</v>
      </c>
      <c r="G743" s="216"/>
    </row>
    <row r="744" spans="1:7" s="308" customFormat="1" ht="111" thickBot="1">
      <c r="A744" s="245" t="s">
        <v>1296</v>
      </c>
      <c r="B744" s="246" t="s">
        <v>335</v>
      </c>
      <c r="C744" s="246" t="s">
        <v>33</v>
      </c>
      <c r="D744" s="202">
        <v>1157.8869999999999</v>
      </c>
      <c r="E744" s="203">
        <f t="shared" si="6"/>
        <v>1157.8869999999999</v>
      </c>
      <c r="F744" s="316">
        <v>657.50234</v>
      </c>
      <c r="G744" s="247" t="s">
        <v>1297</v>
      </c>
    </row>
    <row r="745" spans="1:7" s="308" customFormat="1" ht="32.25" thickBot="1">
      <c r="A745" s="245" t="s">
        <v>1298</v>
      </c>
      <c r="B745" s="246" t="s">
        <v>1299</v>
      </c>
      <c r="C745" s="246" t="s">
        <v>1300</v>
      </c>
      <c r="D745" s="202">
        <v>288.39999999999998</v>
      </c>
      <c r="E745" s="203">
        <f t="shared" si="6"/>
        <v>288.39999999999998</v>
      </c>
      <c r="F745" s="316"/>
      <c r="G745" s="247"/>
    </row>
    <row r="746" spans="1:7" s="308" customFormat="1">
      <c r="A746" s="317"/>
      <c r="B746" s="248" t="s">
        <v>1</v>
      </c>
      <c r="C746" s="249" t="s">
        <v>6</v>
      </c>
      <c r="D746" s="318">
        <f>SUM(D662:D745)</f>
        <v>65254.161800000002</v>
      </c>
      <c r="E746" s="318">
        <f>SUM(E662:E745)</f>
        <v>65254.161800000002</v>
      </c>
      <c r="F746" s="318">
        <f>SUM(F662:F744)</f>
        <v>54639.784380000005</v>
      </c>
      <c r="G746" s="249" t="s">
        <v>6</v>
      </c>
    </row>
    <row r="747" spans="1:7" s="308" customFormat="1">
      <c r="A747" s="386" t="s">
        <v>198</v>
      </c>
      <c r="B747" s="386"/>
      <c r="C747" s="386"/>
      <c r="D747" s="386"/>
      <c r="E747" s="386"/>
      <c r="F747" s="386"/>
      <c r="G747" s="386"/>
    </row>
    <row r="748" spans="1:7" s="308" customFormat="1">
      <c r="A748" s="94" t="s">
        <v>65</v>
      </c>
      <c r="B748" s="94" t="s">
        <v>65</v>
      </c>
      <c r="C748" s="94" t="s">
        <v>65</v>
      </c>
      <c r="D748" s="319" t="s">
        <v>65</v>
      </c>
      <c r="E748" s="319" t="s">
        <v>65</v>
      </c>
      <c r="F748" s="319" t="s">
        <v>65</v>
      </c>
      <c r="G748" s="94" t="s">
        <v>65</v>
      </c>
    </row>
    <row r="749" spans="1:7" s="308" customFormat="1">
      <c r="A749" s="71"/>
      <c r="B749" s="62" t="s">
        <v>1</v>
      </c>
      <c r="C749" s="276" t="s">
        <v>6</v>
      </c>
      <c r="D749" s="278">
        <v>0</v>
      </c>
      <c r="E749" s="278">
        <v>0</v>
      </c>
      <c r="F749" s="278">
        <v>0</v>
      </c>
      <c r="G749" s="276" t="s">
        <v>6</v>
      </c>
    </row>
    <row r="750" spans="1:7" s="308" customFormat="1">
      <c r="A750" s="386" t="s">
        <v>17</v>
      </c>
      <c r="B750" s="386"/>
      <c r="C750" s="386"/>
      <c r="D750" s="386"/>
      <c r="E750" s="386"/>
      <c r="F750" s="386"/>
      <c r="G750" s="386"/>
    </row>
    <row r="751" spans="1:7" s="308" customFormat="1">
      <c r="A751" s="94" t="s">
        <v>65</v>
      </c>
      <c r="B751" s="94" t="s">
        <v>65</v>
      </c>
      <c r="C751" s="94" t="s">
        <v>65</v>
      </c>
      <c r="D751" s="319" t="s">
        <v>65</v>
      </c>
      <c r="E751" s="319" t="s">
        <v>65</v>
      </c>
      <c r="F751" s="319" t="s">
        <v>65</v>
      </c>
      <c r="G751" s="94" t="s">
        <v>65</v>
      </c>
    </row>
    <row r="752" spans="1:7" s="308" customFormat="1">
      <c r="A752" s="71"/>
      <c r="B752" s="62" t="s">
        <v>1</v>
      </c>
      <c r="C752" s="276" t="s">
        <v>6</v>
      </c>
      <c r="D752" s="278">
        <v>0</v>
      </c>
      <c r="E752" s="278">
        <v>0</v>
      </c>
      <c r="F752" s="278">
        <v>0</v>
      </c>
      <c r="G752" s="276" t="s">
        <v>6</v>
      </c>
    </row>
    <row r="753" spans="1:7" s="308" customFormat="1">
      <c r="A753" s="386" t="s">
        <v>18</v>
      </c>
      <c r="B753" s="386"/>
      <c r="C753" s="386"/>
      <c r="D753" s="386"/>
      <c r="E753" s="386"/>
      <c r="F753" s="386"/>
      <c r="G753" s="386"/>
    </row>
    <row r="754" spans="1:7" s="308" customFormat="1" ht="78.75">
      <c r="A754" s="43" t="s">
        <v>136</v>
      </c>
      <c r="B754" s="43" t="s">
        <v>1821</v>
      </c>
      <c r="C754" s="42" t="s">
        <v>33</v>
      </c>
      <c r="D754" s="65">
        <v>540</v>
      </c>
      <c r="E754" s="65">
        <v>540</v>
      </c>
      <c r="F754" s="44">
        <v>194.875</v>
      </c>
      <c r="G754" s="250" t="s">
        <v>137</v>
      </c>
    </row>
    <row r="755" spans="1:7" s="308" customFormat="1" ht="47.25">
      <c r="A755" s="406" t="s">
        <v>849</v>
      </c>
      <c r="B755" s="406" t="s">
        <v>305</v>
      </c>
      <c r="C755" s="407" t="s">
        <v>306</v>
      </c>
      <c r="D755" s="408">
        <v>776.45500000000004</v>
      </c>
      <c r="E755" s="408">
        <v>776.45500000000004</v>
      </c>
      <c r="F755" s="44">
        <v>5.3550000000000004</v>
      </c>
      <c r="G755" s="251" t="s">
        <v>307</v>
      </c>
    </row>
    <row r="756" spans="1:7" s="308" customFormat="1">
      <c r="A756" s="406"/>
      <c r="B756" s="406"/>
      <c r="C756" s="407"/>
      <c r="D756" s="408"/>
      <c r="E756" s="408"/>
      <c r="F756" s="44">
        <v>740.995</v>
      </c>
      <c r="G756" s="44" t="s">
        <v>850</v>
      </c>
    </row>
    <row r="757" spans="1:7" s="308" customFormat="1" ht="31.5">
      <c r="A757" s="406"/>
      <c r="B757" s="406"/>
      <c r="C757" s="407"/>
      <c r="D757" s="408"/>
      <c r="E757" s="408"/>
      <c r="F757" s="44">
        <v>2.2949999999999999</v>
      </c>
      <c r="G757" s="44" t="s">
        <v>851</v>
      </c>
    </row>
    <row r="758" spans="1:7" s="324" customFormat="1">
      <c r="A758" s="320"/>
      <c r="B758" s="321" t="s">
        <v>1</v>
      </c>
      <c r="C758" s="322" t="s">
        <v>6</v>
      </c>
      <c r="D758" s="323">
        <f>SUM(D754:D757)</f>
        <v>1316.4549999999999</v>
      </c>
      <c r="E758" s="323">
        <f>SUM(E754:E757)</f>
        <v>1316.4549999999999</v>
      </c>
      <c r="F758" s="323">
        <f>SUM(F754:F757)</f>
        <v>943.52</v>
      </c>
      <c r="G758" s="322" t="s">
        <v>6</v>
      </c>
    </row>
    <row r="759" spans="1:7" s="308" customFormat="1">
      <c r="A759" s="386" t="s">
        <v>19</v>
      </c>
      <c r="B759" s="386"/>
      <c r="C759" s="386"/>
      <c r="D759" s="386"/>
      <c r="E759" s="386"/>
      <c r="F759" s="386"/>
      <c r="G759" s="386"/>
    </row>
    <row r="760" spans="1:7" s="308" customFormat="1">
      <c r="A760" s="94" t="s">
        <v>65</v>
      </c>
      <c r="B760" s="94" t="s">
        <v>65</v>
      </c>
      <c r="C760" s="94" t="s">
        <v>65</v>
      </c>
      <c r="D760" s="319" t="s">
        <v>65</v>
      </c>
      <c r="E760" s="319" t="s">
        <v>65</v>
      </c>
      <c r="F760" s="319" t="s">
        <v>65</v>
      </c>
      <c r="G760" s="94" t="s">
        <v>65</v>
      </c>
    </row>
    <row r="761" spans="1:7" s="308" customFormat="1">
      <c r="A761" s="71"/>
      <c r="B761" s="62" t="s">
        <v>1</v>
      </c>
      <c r="C761" s="276" t="s">
        <v>6</v>
      </c>
      <c r="D761" s="278">
        <v>0</v>
      </c>
      <c r="E761" s="278">
        <v>0</v>
      </c>
      <c r="F761" s="278">
        <v>0</v>
      </c>
      <c r="G761" s="276" t="s">
        <v>6</v>
      </c>
    </row>
    <row r="762" spans="1:7" s="308" customFormat="1">
      <c r="A762" s="386" t="s">
        <v>20</v>
      </c>
      <c r="B762" s="386"/>
      <c r="C762" s="386"/>
      <c r="D762" s="386"/>
      <c r="E762" s="386"/>
      <c r="F762" s="386"/>
      <c r="G762" s="386"/>
    </row>
    <row r="763" spans="1:7" s="308" customFormat="1">
      <c r="A763" s="94" t="s">
        <v>65</v>
      </c>
      <c r="B763" s="94" t="s">
        <v>65</v>
      </c>
      <c r="C763" s="94" t="s">
        <v>65</v>
      </c>
      <c r="D763" s="319" t="s">
        <v>65</v>
      </c>
      <c r="E763" s="319" t="s">
        <v>65</v>
      </c>
      <c r="F763" s="319" t="s">
        <v>65</v>
      </c>
      <c r="G763" s="94" t="s">
        <v>65</v>
      </c>
    </row>
    <row r="764" spans="1:7" s="308" customFormat="1">
      <c r="A764" s="71"/>
      <c r="B764" s="62" t="s">
        <v>1</v>
      </c>
      <c r="C764" s="276" t="s">
        <v>6</v>
      </c>
      <c r="D764" s="278">
        <v>0</v>
      </c>
      <c r="E764" s="278">
        <v>0</v>
      </c>
      <c r="F764" s="278">
        <v>0</v>
      </c>
      <c r="G764" s="276" t="s">
        <v>6</v>
      </c>
    </row>
    <row r="765" spans="1:7" s="308" customFormat="1">
      <c r="A765" s="386" t="s">
        <v>195</v>
      </c>
      <c r="B765" s="386"/>
      <c r="C765" s="386"/>
      <c r="D765" s="386"/>
      <c r="E765" s="386"/>
      <c r="F765" s="386"/>
      <c r="G765" s="386"/>
    </row>
    <row r="766" spans="1:7" s="308" customFormat="1">
      <c r="A766" s="94" t="s">
        <v>65</v>
      </c>
      <c r="B766" s="94" t="s">
        <v>65</v>
      </c>
      <c r="C766" s="94" t="s">
        <v>65</v>
      </c>
      <c r="D766" s="319" t="s">
        <v>65</v>
      </c>
      <c r="E766" s="319" t="s">
        <v>65</v>
      </c>
      <c r="F766" s="319" t="s">
        <v>65</v>
      </c>
      <c r="G766" s="94" t="s">
        <v>65</v>
      </c>
    </row>
    <row r="767" spans="1:7" s="308" customFormat="1">
      <c r="A767" s="71"/>
      <c r="B767" s="62" t="s">
        <v>1</v>
      </c>
      <c r="C767" s="276" t="s">
        <v>6</v>
      </c>
      <c r="D767" s="278">
        <v>0</v>
      </c>
      <c r="E767" s="278">
        <v>0</v>
      </c>
      <c r="F767" s="278">
        <v>0</v>
      </c>
      <c r="G767" s="276" t="s">
        <v>6</v>
      </c>
    </row>
    <row r="768" spans="1:7" s="67" customFormat="1">
      <c r="A768" s="386" t="s">
        <v>199</v>
      </c>
      <c r="B768" s="386"/>
      <c r="C768" s="386"/>
      <c r="D768" s="386"/>
      <c r="E768" s="386"/>
      <c r="F768" s="386"/>
      <c r="G768" s="386"/>
    </row>
    <row r="769" spans="1:7" s="67" customFormat="1">
      <c r="A769" s="94" t="s">
        <v>65</v>
      </c>
      <c r="B769" s="94" t="s">
        <v>65</v>
      </c>
      <c r="C769" s="94" t="s">
        <v>65</v>
      </c>
      <c r="D769" s="319" t="s">
        <v>65</v>
      </c>
      <c r="E769" s="319" t="s">
        <v>65</v>
      </c>
      <c r="F769" s="319" t="s">
        <v>65</v>
      </c>
      <c r="G769" s="94" t="s">
        <v>65</v>
      </c>
    </row>
    <row r="770" spans="1:7" s="67" customFormat="1">
      <c r="A770" s="71"/>
      <c r="B770" s="62" t="s">
        <v>1</v>
      </c>
      <c r="C770" s="276" t="s">
        <v>6</v>
      </c>
      <c r="D770" s="278">
        <v>0</v>
      </c>
      <c r="E770" s="278">
        <v>0</v>
      </c>
      <c r="F770" s="278">
        <v>0</v>
      </c>
      <c r="G770" s="276" t="s">
        <v>6</v>
      </c>
    </row>
    <row r="771" spans="1:7" s="67" customFormat="1">
      <c r="A771" s="386" t="s">
        <v>21</v>
      </c>
      <c r="B771" s="386"/>
      <c r="C771" s="386"/>
      <c r="D771" s="386"/>
      <c r="E771" s="386"/>
      <c r="F771" s="386"/>
      <c r="G771" s="386"/>
    </row>
    <row r="772" spans="1:7" s="67" customFormat="1">
      <c r="A772" s="94" t="s">
        <v>65</v>
      </c>
      <c r="B772" s="94" t="s">
        <v>65</v>
      </c>
      <c r="C772" s="94" t="s">
        <v>65</v>
      </c>
      <c r="D772" s="319" t="s">
        <v>65</v>
      </c>
      <c r="E772" s="319" t="s">
        <v>65</v>
      </c>
      <c r="F772" s="319" t="s">
        <v>65</v>
      </c>
      <c r="G772" s="94" t="s">
        <v>65</v>
      </c>
    </row>
    <row r="773" spans="1:7" s="67" customFormat="1">
      <c r="A773" s="71"/>
      <c r="B773" s="62" t="s">
        <v>1</v>
      </c>
      <c r="C773" s="276" t="s">
        <v>6</v>
      </c>
      <c r="D773" s="278">
        <v>0</v>
      </c>
      <c r="E773" s="278">
        <v>0</v>
      </c>
      <c r="F773" s="278">
        <v>0</v>
      </c>
      <c r="G773" s="276" t="s">
        <v>6</v>
      </c>
    </row>
    <row r="774" spans="1:7" s="67" customFormat="1">
      <c r="A774" s="386" t="s">
        <v>22</v>
      </c>
      <c r="B774" s="386"/>
      <c r="C774" s="386"/>
      <c r="D774" s="386"/>
      <c r="E774" s="386"/>
      <c r="F774" s="386"/>
      <c r="G774" s="386"/>
    </row>
    <row r="775" spans="1:7" s="67" customFormat="1" ht="31.5">
      <c r="A775" s="380" t="s">
        <v>138</v>
      </c>
      <c r="B775" s="380" t="s">
        <v>139</v>
      </c>
      <c r="C775" s="41" t="s">
        <v>140</v>
      </c>
      <c r="D775" s="383">
        <f>E775+E778+E781</f>
        <v>1965.1129999999998</v>
      </c>
      <c r="E775" s="383">
        <v>1160.229</v>
      </c>
      <c r="F775" s="325">
        <v>1138.68139</v>
      </c>
      <c r="G775" s="45" t="s">
        <v>231</v>
      </c>
    </row>
    <row r="776" spans="1:7" s="67" customFormat="1" ht="31.5">
      <c r="A776" s="381"/>
      <c r="B776" s="381"/>
      <c r="C776" s="45" t="s">
        <v>232</v>
      </c>
      <c r="D776" s="384"/>
      <c r="E776" s="384"/>
      <c r="F776" s="325">
        <v>3.78</v>
      </c>
      <c r="G776" s="45" t="s">
        <v>233</v>
      </c>
    </row>
    <row r="777" spans="1:7" s="67" customFormat="1">
      <c r="A777" s="382"/>
      <c r="B777" s="382"/>
      <c r="C777" s="45" t="s">
        <v>224</v>
      </c>
      <c r="D777" s="384"/>
      <c r="E777" s="385"/>
      <c r="F777" s="325">
        <v>17.768000000000001</v>
      </c>
      <c r="G777" s="45" t="s">
        <v>234</v>
      </c>
    </row>
    <row r="778" spans="1:7" s="67" customFormat="1" ht="31.5">
      <c r="A778" s="380" t="s">
        <v>141</v>
      </c>
      <c r="B778" s="380" t="s">
        <v>142</v>
      </c>
      <c r="C778" s="41" t="s">
        <v>140</v>
      </c>
      <c r="D778" s="384"/>
      <c r="E778" s="383">
        <f>F778+F779+F780</f>
        <v>746.99799999999993</v>
      </c>
      <c r="F778" s="325">
        <v>733.39400000000001</v>
      </c>
      <c r="G778" s="45" t="s">
        <v>231</v>
      </c>
    </row>
    <row r="779" spans="1:7" s="67" customFormat="1" ht="31.5">
      <c r="A779" s="381"/>
      <c r="B779" s="381"/>
      <c r="C779" s="45" t="s">
        <v>232</v>
      </c>
      <c r="D779" s="384"/>
      <c r="E779" s="384"/>
      <c r="F779" s="253">
        <v>2.16</v>
      </c>
      <c r="G779" s="45" t="s">
        <v>230</v>
      </c>
    </row>
    <row r="780" spans="1:7" s="67" customFormat="1">
      <c r="A780" s="382"/>
      <c r="B780" s="382"/>
      <c r="C780" s="45" t="s">
        <v>224</v>
      </c>
      <c r="D780" s="384"/>
      <c r="E780" s="385"/>
      <c r="F780" s="253">
        <v>11.444000000000001</v>
      </c>
      <c r="G780" s="45" t="s">
        <v>234</v>
      </c>
    </row>
    <row r="781" spans="1:7" s="67" customFormat="1" ht="63">
      <c r="A781" s="36" t="s">
        <v>235</v>
      </c>
      <c r="B781" s="73" t="s">
        <v>236</v>
      </c>
      <c r="C781" s="168" t="s">
        <v>237</v>
      </c>
      <c r="D781" s="385"/>
      <c r="E781" s="252">
        <v>57.886000000000003</v>
      </c>
      <c r="F781" s="253">
        <v>57.886000000000003</v>
      </c>
      <c r="G781" s="168" t="s">
        <v>233</v>
      </c>
    </row>
    <row r="782" spans="1:7" s="67" customFormat="1" ht="31.5">
      <c r="A782" s="390" t="s">
        <v>857</v>
      </c>
      <c r="B782" s="390" t="s">
        <v>858</v>
      </c>
      <c r="C782" s="45" t="s">
        <v>859</v>
      </c>
      <c r="D782" s="393">
        <f>E782+E783+E784+F785</f>
        <v>1257.01</v>
      </c>
      <c r="E782" s="254">
        <v>58.241</v>
      </c>
      <c r="F782" s="254">
        <v>58.241</v>
      </c>
      <c r="G782" s="45" t="s">
        <v>860</v>
      </c>
    </row>
    <row r="783" spans="1:7" s="67" customFormat="1" ht="31.5">
      <c r="A783" s="391"/>
      <c r="B783" s="391"/>
      <c r="C783" s="45" t="s">
        <v>861</v>
      </c>
      <c r="D783" s="394"/>
      <c r="E783" s="254">
        <v>1176.4469999999999</v>
      </c>
      <c r="F783" s="254">
        <v>1176.4469999999999</v>
      </c>
      <c r="G783" s="45" t="s">
        <v>862</v>
      </c>
    </row>
    <row r="784" spans="1:7" s="67" customFormat="1" ht="31.5">
      <c r="A784" s="391"/>
      <c r="B784" s="391"/>
      <c r="C784" s="45" t="s">
        <v>232</v>
      </c>
      <c r="D784" s="394"/>
      <c r="E784" s="254">
        <v>4.093</v>
      </c>
      <c r="F784" s="254">
        <v>4.093</v>
      </c>
      <c r="G784" s="45" t="s">
        <v>860</v>
      </c>
    </row>
    <row r="785" spans="1:7" s="67" customFormat="1">
      <c r="A785" s="392"/>
      <c r="B785" s="392"/>
      <c r="C785" s="45"/>
      <c r="D785" s="395"/>
      <c r="E785" s="254">
        <v>18.228999999999999</v>
      </c>
      <c r="F785" s="254">
        <v>18.228999999999999</v>
      </c>
      <c r="G785" s="45"/>
    </row>
    <row r="786" spans="1:7" s="67" customFormat="1" ht="63">
      <c r="A786" s="47" t="s">
        <v>863</v>
      </c>
      <c r="B786" s="47" t="s">
        <v>864</v>
      </c>
      <c r="C786" s="45" t="s">
        <v>859</v>
      </c>
      <c r="D786" s="326">
        <f>E786</f>
        <v>67.334000000000003</v>
      </c>
      <c r="E786" s="254">
        <v>67.334000000000003</v>
      </c>
      <c r="F786" s="254">
        <v>67.334000000000003</v>
      </c>
      <c r="G786" s="45" t="s">
        <v>860</v>
      </c>
    </row>
    <row r="787" spans="1:7" s="67" customFormat="1" ht="63">
      <c r="A787" s="46" t="s">
        <v>865</v>
      </c>
      <c r="B787" s="46" t="s">
        <v>866</v>
      </c>
      <c r="C787" s="45" t="s">
        <v>859</v>
      </c>
      <c r="D787" s="326">
        <f>E787</f>
        <v>57.04</v>
      </c>
      <c r="E787" s="254">
        <v>57.04</v>
      </c>
      <c r="F787" s="254">
        <v>57.04</v>
      </c>
      <c r="G787" s="45" t="s">
        <v>860</v>
      </c>
    </row>
    <row r="788" spans="1:7" s="67" customFormat="1" ht="78.75">
      <c r="A788" s="46" t="s">
        <v>867</v>
      </c>
      <c r="B788" s="46" t="s">
        <v>868</v>
      </c>
      <c r="C788" s="45" t="s">
        <v>859</v>
      </c>
      <c r="D788" s="326">
        <f>E788</f>
        <v>64.495999999999995</v>
      </c>
      <c r="E788" s="254">
        <v>64.495999999999995</v>
      </c>
      <c r="F788" s="254">
        <v>64.495999999999995</v>
      </c>
      <c r="G788" s="45" t="s">
        <v>860</v>
      </c>
    </row>
    <row r="789" spans="1:7" s="67" customFormat="1" ht="47.25">
      <c r="A789" s="390" t="s">
        <v>869</v>
      </c>
      <c r="B789" s="390" t="s">
        <v>870</v>
      </c>
      <c r="C789" s="45" t="s">
        <v>167</v>
      </c>
      <c r="D789" s="393">
        <f>E789+E791+E790</f>
        <v>1182.6669999999999</v>
      </c>
      <c r="E789" s="254">
        <v>1160.123</v>
      </c>
      <c r="F789" s="254">
        <v>1160.123</v>
      </c>
      <c r="G789" s="45" t="s">
        <v>871</v>
      </c>
    </row>
    <row r="790" spans="1:7" s="67" customFormat="1" ht="31.5">
      <c r="A790" s="391"/>
      <c r="B790" s="391"/>
      <c r="C790" s="45" t="s">
        <v>232</v>
      </c>
      <c r="D790" s="394"/>
      <c r="E790" s="254">
        <v>4.444</v>
      </c>
      <c r="F790" s="254">
        <v>4.444</v>
      </c>
      <c r="G790" s="21" t="s">
        <v>860</v>
      </c>
    </row>
    <row r="791" spans="1:7" s="67" customFormat="1">
      <c r="A791" s="391"/>
      <c r="B791" s="391"/>
      <c r="C791" s="45" t="s">
        <v>224</v>
      </c>
      <c r="D791" s="395"/>
      <c r="E791" s="254">
        <v>18.100000000000001</v>
      </c>
      <c r="F791" s="254">
        <v>18.100000000000001</v>
      </c>
      <c r="G791" s="45" t="s">
        <v>227</v>
      </c>
    </row>
    <row r="792" spans="1:7" s="67" customFormat="1" ht="94.5">
      <c r="A792" s="47" t="s">
        <v>872</v>
      </c>
      <c r="B792" s="57" t="s">
        <v>873</v>
      </c>
      <c r="C792" s="45" t="s">
        <v>874</v>
      </c>
      <c r="D792" s="327">
        <v>64.742000000000004</v>
      </c>
      <c r="E792" s="254">
        <v>64.742000000000004</v>
      </c>
      <c r="F792" s="254">
        <v>64.742000000000004</v>
      </c>
      <c r="G792" s="45" t="s">
        <v>860</v>
      </c>
    </row>
    <row r="793" spans="1:7" s="67" customFormat="1" ht="126">
      <c r="A793" s="47" t="s">
        <v>875</v>
      </c>
      <c r="B793" s="46" t="s">
        <v>876</v>
      </c>
      <c r="C793" s="45" t="s">
        <v>874</v>
      </c>
      <c r="D793" s="327">
        <v>61.290999999999997</v>
      </c>
      <c r="E793" s="254">
        <v>61.290999999999997</v>
      </c>
      <c r="F793" s="254">
        <v>61.290999999999997</v>
      </c>
      <c r="G793" s="45" t="s">
        <v>860</v>
      </c>
    </row>
    <row r="794" spans="1:7" s="67" customFormat="1" ht="94.5">
      <c r="A794" s="47" t="s">
        <v>877</v>
      </c>
      <c r="B794" s="46" t="s">
        <v>878</v>
      </c>
      <c r="C794" s="45" t="s">
        <v>874</v>
      </c>
      <c r="D794" s="327">
        <v>94.936000000000007</v>
      </c>
      <c r="E794" s="254">
        <v>94.936000000000007</v>
      </c>
      <c r="F794" s="254">
        <v>94.936000000000007</v>
      </c>
      <c r="G794" s="45" t="s">
        <v>860</v>
      </c>
    </row>
    <row r="795" spans="1:7" s="67" customFormat="1" ht="94.5">
      <c r="A795" s="47" t="s">
        <v>879</v>
      </c>
      <c r="B795" s="46" t="s">
        <v>880</v>
      </c>
      <c r="C795" s="45" t="s">
        <v>874</v>
      </c>
      <c r="D795" s="327">
        <v>81.058000000000007</v>
      </c>
      <c r="E795" s="254">
        <v>81.058000000000007</v>
      </c>
      <c r="F795" s="254">
        <v>81.058000000000007</v>
      </c>
      <c r="G795" s="45" t="s">
        <v>860</v>
      </c>
    </row>
    <row r="796" spans="1:7" s="67" customFormat="1" ht="126">
      <c r="A796" s="47" t="s">
        <v>881</v>
      </c>
      <c r="B796" s="46" t="s">
        <v>882</v>
      </c>
      <c r="C796" s="45" t="s">
        <v>874</v>
      </c>
      <c r="D796" s="327">
        <v>87.043999999999997</v>
      </c>
      <c r="E796" s="254">
        <v>87.043999999999997</v>
      </c>
      <c r="F796" s="254">
        <v>87.043999999999997</v>
      </c>
      <c r="G796" s="45" t="s">
        <v>860</v>
      </c>
    </row>
    <row r="797" spans="1:7" s="67" customFormat="1" ht="94.5">
      <c r="A797" s="47" t="s">
        <v>883</v>
      </c>
      <c r="B797" s="46" t="s">
        <v>884</v>
      </c>
      <c r="C797" s="45" t="s">
        <v>874</v>
      </c>
      <c r="D797" s="327">
        <v>117.26900000000001</v>
      </c>
      <c r="E797" s="328">
        <v>117.26900000000001</v>
      </c>
      <c r="F797" s="328">
        <v>114.572</v>
      </c>
      <c r="G797" s="45" t="s">
        <v>860</v>
      </c>
    </row>
    <row r="798" spans="1:7" s="67" customFormat="1">
      <c r="A798" s="36"/>
      <c r="B798" s="66"/>
      <c r="C798" s="168"/>
      <c r="D798" s="332">
        <f>SUM(D775:D797)</f>
        <v>5100</v>
      </c>
      <c r="E798" s="332">
        <f>SUM(E775:E797)</f>
        <v>5100</v>
      </c>
      <c r="F798" s="332">
        <f>SUM(F775:F797)</f>
        <v>5097.30339</v>
      </c>
      <c r="G798" s="168"/>
    </row>
    <row r="799" spans="1:7" s="67" customFormat="1" ht="94.5">
      <c r="A799" s="36" t="s">
        <v>885</v>
      </c>
      <c r="B799" s="46" t="s">
        <v>886</v>
      </c>
      <c r="C799" s="45" t="s">
        <v>887</v>
      </c>
      <c r="D799" s="329">
        <v>63.9</v>
      </c>
      <c r="E799" s="329">
        <v>63.9</v>
      </c>
      <c r="F799" s="329">
        <v>63.9</v>
      </c>
      <c r="G799" s="45" t="s">
        <v>860</v>
      </c>
    </row>
    <row r="800" spans="1:7" s="67" customFormat="1" ht="78.75">
      <c r="A800" s="36" t="s">
        <v>888</v>
      </c>
      <c r="B800" s="46" t="s">
        <v>889</v>
      </c>
      <c r="C800" s="45" t="s">
        <v>887</v>
      </c>
      <c r="D800" s="329">
        <v>26.1</v>
      </c>
      <c r="E800" s="329">
        <v>26.1</v>
      </c>
      <c r="F800" s="329">
        <v>23.492999999999999</v>
      </c>
      <c r="G800" s="45" t="s">
        <v>860</v>
      </c>
    </row>
    <row r="801" spans="1:7" s="67" customFormat="1">
      <c r="A801" s="36"/>
      <c r="B801" s="66"/>
      <c r="C801" s="168"/>
      <c r="D801" s="332">
        <f>D799+D800</f>
        <v>90</v>
      </c>
      <c r="E801" s="332">
        <f>E799+E800</f>
        <v>90</v>
      </c>
      <c r="F801" s="332">
        <f>F799+F800</f>
        <v>87.393000000000001</v>
      </c>
      <c r="G801" s="168"/>
    </row>
    <row r="802" spans="1:7" s="67" customFormat="1" ht="31.5">
      <c r="A802" s="390" t="s">
        <v>890</v>
      </c>
      <c r="B802" s="390" t="s">
        <v>891</v>
      </c>
      <c r="C802" s="45" t="s">
        <v>167</v>
      </c>
      <c r="D802" s="254">
        <v>1366.5429999999999</v>
      </c>
      <c r="E802" s="254">
        <v>1366.5429999999999</v>
      </c>
      <c r="F802" s="254">
        <v>1366.5429999999999</v>
      </c>
      <c r="G802" s="45" t="s">
        <v>860</v>
      </c>
    </row>
    <row r="803" spans="1:7" s="67" customFormat="1" ht="47.25">
      <c r="A803" s="391"/>
      <c r="B803" s="391"/>
      <c r="C803" s="45" t="s">
        <v>224</v>
      </c>
      <c r="D803" s="254">
        <v>21.234000000000002</v>
      </c>
      <c r="E803" s="254">
        <v>21.234000000000002</v>
      </c>
      <c r="F803" s="254">
        <v>21.234000000000002</v>
      </c>
      <c r="G803" s="45" t="s">
        <v>892</v>
      </c>
    </row>
    <row r="804" spans="1:7" s="67" customFormat="1">
      <c r="A804" s="391"/>
      <c r="B804" s="391"/>
      <c r="C804" s="45" t="s">
        <v>232</v>
      </c>
      <c r="D804" s="254">
        <v>4.78</v>
      </c>
      <c r="E804" s="254">
        <v>4.78</v>
      </c>
      <c r="F804" s="254">
        <v>4.78</v>
      </c>
      <c r="G804" s="45" t="s">
        <v>227</v>
      </c>
    </row>
    <row r="805" spans="1:7" s="67" customFormat="1" ht="31.5">
      <c r="A805" s="391"/>
      <c r="B805" s="391"/>
      <c r="C805" s="45" t="s">
        <v>229</v>
      </c>
      <c r="D805" s="254">
        <v>69.73</v>
      </c>
      <c r="E805" s="254">
        <v>69.73</v>
      </c>
      <c r="F805" s="254">
        <v>69.73</v>
      </c>
      <c r="G805" s="45" t="s">
        <v>860</v>
      </c>
    </row>
    <row r="806" spans="1:7" s="67" customFormat="1" ht="31.5">
      <c r="A806" s="390" t="s">
        <v>893</v>
      </c>
      <c r="B806" s="390" t="s">
        <v>894</v>
      </c>
      <c r="C806" s="45" t="s">
        <v>167</v>
      </c>
      <c r="D806" s="254">
        <v>1132.1690000000001</v>
      </c>
      <c r="E806" s="254">
        <v>1132.1690000000001</v>
      </c>
      <c r="F806" s="254">
        <v>1132.1690000000001</v>
      </c>
      <c r="G806" s="45" t="s">
        <v>895</v>
      </c>
    </row>
    <row r="807" spans="1:7" s="67" customFormat="1" ht="31.5">
      <c r="A807" s="391"/>
      <c r="B807" s="391"/>
      <c r="C807" s="45" t="s">
        <v>229</v>
      </c>
      <c r="D807" s="254">
        <v>58.31</v>
      </c>
      <c r="E807" s="254">
        <v>58.31</v>
      </c>
      <c r="F807" s="254">
        <v>58.31</v>
      </c>
      <c r="G807" s="45" t="s">
        <v>860</v>
      </c>
    </row>
    <row r="808" spans="1:7" s="67" customFormat="1">
      <c r="A808" s="391"/>
      <c r="B808" s="391"/>
      <c r="C808" s="45" t="s">
        <v>224</v>
      </c>
      <c r="D808" s="254">
        <v>17.588999999999999</v>
      </c>
      <c r="E808" s="254">
        <v>17.588999999999999</v>
      </c>
      <c r="F808" s="254">
        <v>17.588999999999999</v>
      </c>
      <c r="G808" s="45" t="s">
        <v>227</v>
      </c>
    </row>
    <row r="809" spans="1:7" s="67" customFormat="1" ht="31.5">
      <c r="A809" s="392"/>
      <c r="B809" s="392"/>
      <c r="C809" s="45" t="s">
        <v>232</v>
      </c>
      <c r="D809" s="254">
        <v>3.9489999999999998</v>
      </c>
      <c r="E809" s="254">
        <v>3.9489999999999998</v>
      </c>
      <c r="F809" s="254">
        <v>3.9489999999999998</v>
      </c>
      <c r="G809" s="45" t="s">
        <v>860</v>
      </c>
    </row>
    <row r="810" spans="1:7" s="67" customFormat="1" ht="31.5">
      <c r="A810" s="409" t="s">
        <v>896</v>
      </c>
      <c r="B810" s="409" t="s">
        <v>897</v>
      </c>
      <c r="C810" s="45" t="s">
        <v>167</v>
      </c>
      <c r="D810" s="254">
        <v>1374.587</v>
      </c>
      <c r="E810" s="254">
        <v>1374.587</v>
      </c>
      <c r="F810" s="254">
        <v>1374.587</v>
      </c>
      <c r="G810" s="45" t="s">
        <v>898</v>
      </c>
    </row>
    <row r="811" spans="1:7" s="67" customFormat="1" ht="31.5">
      <c r="A811" s="410"/>
      <c r="B811" s="410"/>
      <c r="C811" s="45" t="s">
        <v>229</v>
      </c>
      <c r="D811" s="254">
        <v>69.781999999999996</v>
      </c>
      <c r="E811" s="254">
        <v>69.781999999999996</v>
      </c>
      <c r="F811" s="254">
        <v>69.781999999999996</v>
      </c>
      <c r="G811" s="45" t="s">
        <v>860</v>
      </c>
    </row>
    <row r="812" spans="1:7" s="67" customFormat="1" ht="31.5">
      <c r="A812" s="410"/>
      <c r="B812" s="410"/>
      <c r="C812" s="45" t="s">
        <v>232</v>
      </c>
      <c r="D812" s="254">
        <v>4.7830000000000004</v>
      </c>
      <c r="E812" s="254">
        <v>4.7830000000000004</v>
      </c>
      <c r="F812" s="254">
        <v>4.7830000000000004</v>
      </c>
      <c r="G812" s="45" t="s">
        <v>860</v>
      </c>
    </row>
    <row r="813" spans="1:7" s="67" customFormat="1">
      <c r="A813" s="411"/>
      <c r="B813" s="411"/>
      <c r="C813" s="45" t="s">
        <v>224</v>
      </c>
      <c r="D813" s="254">
        <v>21.303999999999998</v>
      </c>
      <c r="E813" s="254">
        <v>21.303999999999998</v>
      </c>
      <c r="F813" s="254">
        <v>21.303999999999998</v>
      </c>
      <c r="G813" s="45" t="s">
        <v>227</v>
      </c>
    </row>
    <row r="814" spans="1:7" s="67" customFormat="1" ht="47.25">
      <c r="A814" s="390" t="s">
        <v>899</v>
      </c>
      <c r="B814" s="390" t="s">
        <v>900</v>
      </c>
      <c r="C814" s="45" t="s">
        <v>901</v>
      </c>
      <c r="D814" s="254">
        <v>80.5</v>
      </c>
      <c r="E814" s="254">
        <v>80.5</v>
      </c>
      <c r="F814" s="254">
        <v>80.5</v>
      </c>
      <c r="G814" s="45" t="s">
        <v>902</v>
      </c>
    </row>
    <row r="815" spans="1:7" s="67" customFormat="1" ht="47.25">
      <c r="A815" s="391"/>
      <c r="B815" s="391"/>
      <c r="C815" s="45" t="s">
        <v>167</v>
      </c>
      <c r="D815" s="254">
        <v>820.601</v>
      </c>
      <c r="E815" s="254">
        <v>820.601</v>
      </c>
      <c r="F815" s="254">
        <v>820.601</v>
      </c>
      <c r="G815" s="45" t="s">
        <v>226</v>
      </c>
    </row>
    <row r="816" spans="1:7" s="67" customFormat="1">
      <c r="A816" s="391"/>
      <c r="B816" s="391"/>
      <c r="C816" s="45" t="s">
        <v>224</v>
      </c>
      <c r="D816" s="254">
        <v>12.727</v>
      </c>
      <c r="E816" s="254">
        <v>12.727</v>
      </c>
      <c r="F816" s="254">
        <v>12.727</v>
      </c>
      <c r="G816" s="45" t="s">
        <v>227</v>
      </c>
    </row>
    <row r="817" spans="1:7" s="67" customFormat="1" ht="31.5">
      <c r="A817" s="390" t="s">
        <v>903</v>
      </c>
      <c r="B817" s="390" t="s">
        <v>904</v>
      </c>
      <c r="C817" s="45" t="s">
        <v>167</v>
      </c>
      <c r="D817" s="254">
        <v>1046.9670000000001</v>
      </c>
      <c r="E817" s="254">
        <v>1046.9670000000001</v>
      </c>
      <c r="F817" s="254">
        <v>1046.9670000000001</v>
      </c>
      <c r="G817" s="45" t="s">
        <v>898</v>
      </c>
    </row>
    <row r="818" spans="1:7" s="67" customFormat="1" ht="47.25">
      <c r="A818" s="391"/>
      <c r="B818" s="391"/>
      <c r="C818" s="45" t="s">
        <v>905</v>
      </c>
      <c r="D818" s="254">
        <v>79.953999999999994</v>
      </c>
      <c r="E818" s="254">
        <v>79.953999999999994</v>
      </c>
      <c r="F818" s="254">
        <v>79.953999999999994</v>
      </c>
      <c r="G818" s="45" t="s">
        <v>902</v>
      </c>
    </row>
    <row r="819" spans="1:7" s="67" customFormat="1" ht="47.25">
      <c r="A819" s="391"/>
      <c r="B819" s="391"/>
      <c r="C819" s="45" t="s">
        <v>232</v>
      </c>
      <c r="D819" s="254">
        <v>3.5390000000000001</v>
      </c>
      <c r="E819" s="254">
        <v>3.5390000000000001</v>
      </c>
      <c r="F819" s="254">
        <v>3.5390000000000001</v>
      </c>
      <c r="G819" s="45" t="s">
        <v>902</v>
      </c>
    </row>
    <row r="820" spans="1:7" s="67" customFormat="1">
      <c r="A820" s="392"/>
      <c r="B820" s="392"/>
      <c r="C820" s="45" t="s">
        <v>224</v>
      </c>
      <c r="D820" s="254">
        <v>16.236000000000001</v>
      </c>
      <c r="E820" s="254">
        <v>16.236000000000001</v>
      </c>
      <c r="F820" s="254">
        <v>16.236000000000001</v>
      </c>
      <c r="G820" s="45" t="s">
        <v>227</v>
      </c>
    </row>
    <row r="821" spans="1:7" s="67" customFormat="1" ht="94.5">
      <c r="A821" s="19" t="s">
        <v>906</v>
      </c>
      <c r="B821" s="45" t="s">
        <v>907</v>
      </c>
      <c r="C821" s="45" t="s">
        <v>901</v>
      </c>
      <c r="D821" s="254">
        <v>80.5</v>
      </c>
      <c r="E821" s="254">
        <v>80.5</v>
      </c>
      <c r="F821" s="254">
        <v>80.5</v>
      </c>
      <c r="G821" s="45" t="s">
        <v>902</v>
      </c>
    </row>
    <row r="822" spans="1:7" s="67" customFormat="1" ht="78.75">
      <c r="A822" s="19" t="s">
        <v>908</v>
      </c>
      <c r="B822" s="45" t="s">
        <v>909</v>
      </c>
      <c r="C822" s="45" t="s">
        <v>901</v>
      </c>
      <c r="D822" s="254">
        <v>92.376999999999995</v>
      </c>
      <c r="E822" s="254">
        <v>92.376999999999995</v>
      </c>
      <c r="F822" s="254">
        <v>92.376999999999995</v>
      </c>
      <c r="G822" s="45" t="s">
        <v>860</v>
      </c>
    </row>
    <row r="823" spans="1:7" s="67" customFormat="1" ht="78.75">
      <c r="A823" s="19" t="s">
        <v>910</v>
      </c>
      <c r="B823" s="45" t="s">
        <v>911</v>
      </c>
      <c r="C823" s="45" t="s">
        <v>901</v>
      </c>
      <c r="D823" s="254">
        <v>97.751000000000005</v>
      </c>
      <c r="E823" s="254">
        <v>97.751000000000005</v>
      </c>
      <c r="F823" s="254">
        <v>97.751000000000005</v>
      </c>
      <c r="G823" s="45" t="s">
        <v>860</v>
      </c>
    </row>
    <row r="824" spans="1:7" s="67" customFormat="1" ht="78.75">
      <c r="A824" s="19" t="s">
        <v>912</v>
      </c>
      <c r="B824" s="45" t="s">
        <v>913</v>
      </c>
      <c r="C824" s="45" t="s">
        <v>901</v>
      </c>
      <c r="D824" s="254">
        <v>108.828</v>
      </c>
      <c r="E824" s="254">
        <v>108.828</v>
      </c>
      <c r="F824" s="254">
        <v>108.828</v>
      </c>
      <c r="G824" s="45" t="s">
        <v>860</v>
      </c>
    </row>
    <row r="825" spans="1:7" s="67" customFormat="1" ht="78.75">
      <c r="A825" s="45" t="s">
        <v>914</v>
      </c>
      <c r="B825" s="45" t="s">
        <v>915</v>
      </c>
      <c r="C825" s="45" t="s">
        <v>901</v>
      </c>
      <c r="D825" s="254">
        <v>140.917</v>
      </c>
      <c r="E825" s="254">
        <v>140.917</v>
      </c>
      <c r="F825" s="254">
        <v>140.917</v>
      </c>
      <c r="G825" s="45" t="s">
        <v>860</v>
      </c>
    </row>
    <row r="826" spans="1:7" s="67" customFormat="1" ht="78.75">
      <c r="A826" s="45" t="s">
        <v>916</v>
      </c>
      <c r="B826" s="45" t="s">
        <v>917</v>
      </c>
      <c r="C826" s="45" t="s">
        <v>901</v>
      </c>
      <c r="D826" s="254">
        <v>97.885999999999996</v>
      </c>
      <c r="E826" s="254">
        <v>97.885999999999996</v>
      </c>
      <c r="F826" s="254">
        <v>65.402000000000001</v>
      </c>
      <c r="G826" s="45" t="s">
        <v>860</v>
      </c>
    </row>
    <row r="827" spans="1:7" s="67" customFormat="1">
      <c r="A827" s="255"/>
      <c r="B827" s="255"/>
      <c r="C827" s="168"/>
      <c r="D827" s="332">
        <f>SUM(D802:D826)</f>
        <v>6823.5430000000015</v>
      </c>
      <c r="E827" s="332">
        <f>SUM(E802:E826)</f>
        <v>6823.5430000000015</v>
      </c>
      <c r="F827" s="332">
        <f>SUM(F802:F826)</f>
        <v>6791.0590000000011</v>
      </c>
      <c r="G827" s="168"/>
    </row>
    <row r="828" spans="1:7" s="67" customFormat="1" ht="47.25">
      <c r="A828" s="412" t="s">
        <v>918</v>
      </c>
      <c r="B828" s="412" t="s">
        <v>919</v>
      </c>
      <c r="C828" s="45" t="s">
        <v>167</v>
      </c>
      <c r="D828" s="254">
        <v>135.578</v>
      </c>
      <c r="E828" s="254">
        <v>135.578</v>
      </c>
      <c r="F828" s="254">
        <v>135.578</v>
      </c>
      <c r="G828" s="45" t="s">
        <v>920</v>
      </c>
    </row>
    <row r="829" spans="1:7" s="67" customFormat="1" ht="47.25">
      <c r="A829" s="413"/>
      <c r="B829" s="413"/>
      <c r="C829" s="45" t="s">
        <v>232</v>
      </c>
      <c r="D829" s="254">
        <v>1.08</v>
      </c>
      <c r="E829" s="254">
        <v>1.08</v>
      </c>
      <c r="F829" s="254">
        <v>1.08</v>
      </c>
      <c r="G829" s="45" t="s">
        <v>856</v>
      </c>
    </row>
    <row r="830" spans="1:7" s="67" customFormat="1" ht="47.25">
      <c r="A830" s="413"/>
      <c r="B830" s="413"/>
      <c r="C830" s="45" t="s">
        <v>921</v>
      </c>
      <c r="D830" s="254">
        <v>10.8</v>
      </c>
      <c r="E830" s="254">
        <v>10.8</v>
      </c>
      <c r="F830" s="254">
        <v>10.8</v>
      </c>
      <c r="G830" s="45" t="s">
        <v>856</v>
      </c>
    </row>
    <row r="831" spans="1:7" s="67" customFormat="1" ht="47.25">
      <c r="A831" s="414"/>
      <c r="B831" s="414"/>
      <c r="C831" s="45" t="s">
        <v>224</v>
      </c>
      <c r="D831" s="254">
        <v>2.5350000000000001</v>
      </c>
      <c r="E831" s="254">
        <v>2.5350000000000001</v>
      </c>
      <c r="F831" s="254">
        <v>2.5350000000000001</v>
      </c>
      <c r="G831" s="45" t="s">
        <v>228</v>
      </c>
    </row>
    <row r="832" spans="1:7" s="67" customFormat="1" ht="47.25">
      <c r="A832" s="412" t="s">
        <v>922</v>
      </c>
      <c r="B832" s="412" t="s">
        <v>923</v>
      </c>
      <c r="C832" s="45" t="s">
        <v>167</v>
      </c>
      <c r="D832" s="254">
        <v>135.578</v>
      </c>
      <c r="E832" s="254">
        <v>135.578</v>
      </c>
      <c r="F832" s="254">
        <v>135.578</v>
      </c>
      <c r="G832" s="45" t="s">
        <v>920</v>
      </c>
    </row>
    <row r="833" spans="1:7" s="67" customFormat="1" ht="47.25">
      <c r="A833" s="413"/>
      <c r="B833" s="413"/>
      <c r="C833" s="45" t="s">
        <v>232</v>
      </c>
      <c r="D833" s="254">
        <v>1.08</v>
      </c>
      <c r="E833" s="254">
        <v>1.08</v>
      </c>
      <c r="F833" s="254">
        <v>1.08</v>
      </c>
      <c r="G833" s="45" t="s">
        <v>856</v>
      </c>
    </row>
    <row r="834" spans="1:7" s="67" customFormat="1" ht="47.25">
      <c r="A834" s="413"/>
      <c r="B834" s="413"/>
      <c r="C834" s="45" t="s">
        <v>921</v>
      </c>
      <c r="D834" s="254">
        <v>10.8</v>
      </c>
      <c r="E834" s="254">
        <v>10.8</v>
      </c>
      <c r="F834" s="254">
        <v>10.8</v>
      </c>
      <c r="G834" s="45" t="s">
        <v>856</v>
      </c>
    </row>
    <row r="835" spans="1:7" s="67" customFormat="1" ht="47.25">
      <c r="A835" s="414"/>
      <c r="B835" s="414"/>
      <c r="C835" s="45" t="s">
        <v>224</v>
      </c>
      <c r="D835" s="254">
        <v>2.5350000000000001</v>
      </c>
      <c r="E835" s="254">
        <v>2.5350000000000001</v>
      </c>
      <c r="F835" s="254">
        <v>2.5350000000000001</v>
      </c>
      <c r="G835" s="45" t="s">
        <v>228</v>
      </c>
    </row>
    <row r="836" spans="1:7" s="67" customFormat="1" ht="31.5">
      <c r="A836" s="412" t="s">
        <v>924</v>
      </c>
      <c r="B836" s="412" t="s">
        <v>925</v>
      </c>
      <c r="C836" s="45" t="s">
        <v>167</v>
      </c>
      <c r="D836" s="254">
        <v>179.41399999999999</v>
      </c>
      <c r="E836" s="254">
        <v>179.41399999999999</v>
      </c>
      <c r="F836" s="254">
        <v>179.41399999999999</v>
      </c>
      <c r="G836" s="45" t="s">
        <v>855</v>
      </c>
    </row>
    <row r="837" spans="1:7" s="67" customFormat="1" ht="47.25">
      <c r="A837" s="413"/>
      <c r="B837" s="413"/>
      <c r="C837" s="45" t="s">
        <v>232</v>
      </c>
      <c r="D837" s="254">
        <v>1.08</v>
      </c>
      <c r="E837" s="254">
        <v>1.08</v>
      </c>
      <c r="F837" s="254">
        <v>1.08</v>
      </c>
      <c r="G837" s="45" t="s">
        <v>856</v>
      </c>
    </row>
    <row r="838" spans="1:7" s="67" customFormat="1" ht="47.25">
      <c r="A838" s="413"/>
      <c r="B838" s="413"/>
      <c r="C838" s="45" t="s">
        <v>921</v>
      </c>
      <c r="D838" s="254">
        <v>16.2</v>
      </c>
      <c r="E838" s="254">
        <v>16.2</v>
      </c>
      <c r="F838" s="254">
        <v>16.2</v>
      </c>
      <c r="G838" s="45" t="s">
        <v>856</v>
      </c>
    </row>
    <row r="839" spans="1:7" s="67" customFormat="1" ht="47.25">
      <c r="A839" s="414"/>
      <c r="B839" s="414"/>
      <c r="C839" s="45" t="s">
        <v>224</v>
      </c>
      <c r="D839" s="329">
        <v>3.2949999999999999</v>
      </c>
      <c r="E839" s="329">
        <v>3.2949999999999999</v>
      </c>
      <c r="F839" s="329">
        <v>3.2949999999999999</v>
      </c>
      <c r="G839" s="45" t="s">
        <v>228</v>
      </c>
    </row>
    <row r="840" spans="1:7" s="67" customFormat="1" ht="47.25">
      <c r="A840" s="412" t="s">
        <v>926</v>
      </c>
      <c r="B840" s="412" t="s">
        <v>927</v>
      </c>
      <c r="C840" s="45" t="s">
        <v>921</v>
      </c>
      <c r="D840" s="329">
        <v>14.211</v>
      </c>
      <c r="E840" s="329">
        <v>14.211</v>
      </c>
      <c r="F840" s="329">
        <v>14.211</v>
      </c>
      <c r="G840" s="45" t="s">
        <v>856</v>
      </c>
    </row>
    <row r="841" spans="1:7" s="67" customFormat="1" ht="47.25">
      <c r="A841" s="413"/>
      <c r="B841" s="413"/>
      <c r="C841" s="45" t="s">
        <v>167</v>
      </c>
      <c r="D841" s="329">
        <v>126.93899999999999</v>
      </c>
      <c r="E841" s="329">
        <v>126.93899999999999</v>
      </c>
      <c r="F841" s="329">
        <v>126.93899999999999</v>
      </c>
      <c r="G841" s="45" t="s">
        <v>853</v>
      </c>
    </row>
    <row r="842" spans="1:7" s="67" customFormat="1" ht="47.25">
      <c r="A842" s="413"/>
      <c r="B842" s="413"/>
      <c r="C842" s="45" t="s">
        <v>232</v>
      </c>
      <c r="D842" s="329">
        <v>2.8420000000000001</v>
      </c>
      <c r="E842" s="329">
        <v>2.8420000000000001</v>
      </c>
      <c r="F842" s="329">
        <v>2.8420000000000001</v>
      </c>
      <c r="G842" s="45" t="s">
        <v>856</v>
      </c>
    </row>
    <row r="843" spans="1:7" s="67" customFormat="1" ht="31.5">
      <c r="A843" s="414"/>
      <c r="B843" s="414"/>
      <c r="C843" s="45" t="s">
        <v>224</v>
      </c>
      <c r="D843" s="329">
        <v>1.802</v>
      </c>
      <c r="E843" s="329">
        <v>1.802</v>
      </c>
      <c r="F843" s="329">
        <v>1.802</v>
      </c>
      <c r="G843" s="45" t="s">
        <v>928</v>
      </c>
    </row>
    <row r="844" spans="1:7" s="67" customFormat="1" ht="47.25">
      <c r="A844" s="412" t="s">
        <v>929</v>
      </c>
      <c r="B844" s="412" t="s">
        <v>930</v>
      </c>
      <c r="C844" s="45" t="s">
        <v>921</v>
      </c>
      <c r="D844" s="415">
        <v>754.23099999999999</v>
      </c>
      <c r="E844" s="415">
        <v>754.23099999999999</v>
      </c>
      <c r="F844" s="329">
        <v>14.211</v>
      </c>
      <c r="G844" s="45" t="s">
        <v>856</v>
      </c>
    </row>
    <row r="845" spans="1:7" s="67" customFormat="1" ht="47.25">
      <c r="A845" s="413"/>
      <c r="B845" s="413"/>
      <c r="C845" s="45" t="s">
        <v>167</v>
      </c>
      <c r="D845" s="416"/>
      <c r="E845" s="416"/>
      <c r="F845" s="329">
        <v>402.89400000000001</v>
      </c>
      <c r="G845" s="45" t="s">
        <v>853</v>
      </c>
    </row>
    <row r="846" spans="1:7" s="67" customFormat="1" ht="47.25">
      <c r="A846" s="413"/>
      <c r="B846" s="413"/>
      <c r="C846" s="45" t="s">
        <v>232</v>
      </c>
      <c r="D846" s="416"/>
      <c r="E846" s="416"/>
      <c r="F846" s="329">
        <v>2.8410000000000002</v>
      </c>
      <c r="G846" s="45" t="s">
        <v>856</v>
      </c>
    </row>
    <row r="847" spans="1:7" s="67" customFormat="1" ht="31.5">
      <c r="A847" s="414"/>
      <c r="B847" s="414"/>
      <c r="C847" s="45" t="s">
        <v>224</v>
      </c>
      <c r="D847" s="417"/>
      <c r="E847" s="417"/>
      <c r="F847" s="329">
        <v>5.5839999999999996</v>
      </c>
      <c r="G847" s="45" t="s">
        <v>928</v>
      </c>
    </row>
    <row r="848" spans="1:7" s="67" customFormat="1">
      <c r="A848" s="36"/>
      <c r="B848" s="66"/>
      <c r="C848" s="168"/>
      <c r="D848" s="332">
        <f>SUM(D828:D847)</f>
        <v>1400</v>
      </c>
      <c r="E848" s="332">
        <f>SUM(E828:E847)</f>
        <v>1400</v>
      </c>
      <c r="F848" s="332">
        <f>SUM(F828:F847)</f>
        <v>1071.299</v>
      </c>
      <c r="G848" s="168"/>
    </row>
    <row r="849" spans="1:7" s="67" customFormat="1" ht="47.25">
      <c r="A849" s="390" t="s">
        <v>931</v>
      </c>
      <c r="B849" s="390" t="s">
        <v>932</v>
      </c>
      <c r="C849" s="45" t="s">
        <v>229</v>
      </c>
      <c r="D849" s="415">
        <v>184</v>
      </c>
      <c r="E849" s="415">
        <v>184</v>
      </c>
      <c r="F849" s="329">
        <v>10.8</v>
      </c>
      <c r="G849" s="45" t="s">
        <v>856</v>
      </c>
    </row>
    <row r="850" spans="1:7" s="67" customFormat="1" ht="31.5">
      <c r="A850" s="391"/>
      <c r="B850" s="391"/>
      <c r="C850" s="45" t="s">
        <v>167</v>
      </c>
      <c r="D850" s="416"/>
      <c r="E850" s="416"/>
      <c r="F850" s="329">
        <v>168.821</v>
      </c>
      <c r="G850" s="45" t="s">
        <v>854</v>
      </c>
    </row>
    <row r="851" spans="1:7" s="67" customFormat="1" ht="47.25">
      <c r="A851" s="392"/>
      <c r="B851" s="392"/>
      <c r="C851" s="45" t="s">
        <v>224</v>
      </c>
      <c r="D851" s="417"/>
      <c r="E851" s="417"/>
      <c r="F851" s="329">
        <v>3.2909999999999999</v>
      </c>
      <c r="G851" s="45" t="s">
        <v>228</v>
      </c>
    </row>
    <row r="852" spans="1:7" s="67" customFormat="1">
      <c r="A852" s="36"/>
      <c r="B852" s="74"/>
      <c r="C852" s="168"/>
      <c r="D852" s="332">
        <f>SUM(D849:D851)</f>
        <v>184</v>
      </c>
      <c r="E852" s="332">
        <f>SUM(E849:E851)</f>
        <v>184</v>
      </c>
      <c r="F852" s="332">
        <f>SUM(F849:F851)</f>
        <v>182.91200000000001</v>
      </c>
      <c r="G852" s="168"/>
    </row>
    <row r="853" spans="1:7" s="67" customFormat="1" ht="31.5">
      <c r="A853" s="418" t="s">
        <v>933</v>
      </c>
      <c r="B853" s="418" t="s">
        <v>934</v>
      </c>
      <c r="C853" s="45" t="s">
        <v>921</v>
      </c>
      <c r="D853" s="415">
        <v>850</v>
      </c>
      <c r="E853" s="421">
        <v>850</v>
      </c>
      <c r="F853" s="254">
        <v>11.428000000000001</v>
      </c>
      <c r="G853" s="45" t="s">
        <v>935</v>
      </c>
    </row>
    <row r="854" spans="1:7" s="67" customFormat="1" ht="31.5">
      <c r="A854" s="419"/>
      <c r="B854" s="419"/>
      <c r="C854" s="45" t="s">
        <v>936</v>
      </c>
      <c r="D854" s="416"/>
      <c r="E854" s="422"/>
      <c r="F854" s="254">
        <v>816.971</v>
      </c>
      <c r="G854" s="45" t="s">
        <v>937</v>
      </c>
    </row>
    <row r="855" spans="1:7" s="67" customFormat="1">
      <c r="A855" s="420"/>
      <c r="B855" s="420"/>
      <c r="C855" s="45" t="s">
        <v>64</v>
      </c>
      <c r="D855" s="417"/>
      <c r="E855" s="423"/>
      <c r="F855" s="254">
        <v>15.206</v>
      </c>
      <c r="G855" s="45" t="s">
        <v>227</v>
      </c>
    </row>
    <row r="856" spans="1:7" s="67" customFormat="1" ht="47.25">
      <c r="A856" s="45" t="s">
        <v>938</v>
      </c>
      <c r="B856" s="45" t="s">
        <v>939</v>
      </c>
      <c r="C856" s="45" t="s">
        <v>940</v>
      </c>
      <c r="D856" s="329">
        <v>500</v>
      </c>
      <c r="E856" s="254">
        <v>500</v>
      </c>
      <c r="F856" s="254">
        <v>149.666</v>
      </c>
      <c r="G856" s="45" t="s">
        <v>941</v>
      </c>
    </row>
    <row r="857" spans="1:7" s="67" customFormat="1">
      <c r="A857" s="36"/>
      <c r="B857" s="74"/>
      <c r="C857" s="168"/>
      <c r="D857" s="332">
        <f>SUM(D853:D856)</f>
        <v>1350</v>
      </c>
      <c r="E857" s="332">
        <f>SUM(E853:E856)</f>
        <v>1350</v>
      </c>
      <c r="F857" s="332">
        <f>SUM(F853:F856)</f>
        <v>993.27099999999996</v>
      </c>
      <c r="G857" s="168"/>
    </row>
    <row r="858" spans="1:7" s="67" customFormat="1" ht="47.25">
      <c r="A858" s="424" t="s">
        <v>942</v>
      </c>
      <c r="B858" s="427" t="s">
        <v>943</v>
      </c>
      <c r="C858" s="45" t="s">
        <v>224</v>
      </c>
      <c r="D858" s="393">
        <v>250</v>
      </c>
      <c r="E858" s="393">
        <v>250</v>
      </c>
      <c r="F858" s="329">
        <v>3.427</v>
      </c>
      <c r="G858" s="45" t="s">
        <v>228</v>
      </c>
    </row>
    <row r="859" spans="1:7" s="67" customFormat="1" ht="31.5">
      <c r="A859" s="426"/>
      <c r="B859" s="428"/>
      <c r="C859" s="45" t="s">
        <v>167</v>
      </c>
      <c r="D859" s="395"/>
      <c r="E859" s="395"/>
      <c r="F859" s="329">
        <v>230.55699999999999</v>
      </c>
      <c r="G859" s="45" t="s">
        <v>944</v>
      </c>
    </row>
    <row r="860" spans="1:7" s="67" customFormat="1">
      <c r="A860" s="256"/>
      <c r="B860" s="258"/>
      <c r="C860" s="259"/>
      <c r="D860" s="332">
        <f>SUM(D858:D859)</f>
        <v>250</v>
      </c>
      <c r="E860" s="332">
        <f>SUM(E858:E859)</f>
        <v>250</v>
      </c>
      <c r="F860" s="332">
        <f>SUM(F858:F859)</f>
        <v>233.98399999999998</v>
      </c>
      <c r="G860" s="259"/>
    </row>
    <row r="861" spans="1:7" s="67" customFormat="1" ht="63">
      <c r="A861" s="256" t="s">
        <v>945</v>
      </c>
      <c r="B861" s="45" t="s">
        <v>946</v>
      </c>
      <c r="C861" s="45" t="s">
        <v>940</v>
      </c>
      <c r="D861" s="329">
        <v>135</v>
      </c>
      <c r="E861" s="329">
        <v>135</v>
      </c>
      <c r="F861" s="329">
        <v>133.762</v>
      </c>
      <c r="G861" s="45" t="s">
        <v>947</v>
      </c>
    </row>
    <row r="862" spans="1:7" s="67" customFormat="1" ht="47.25">
      <c r="A862" s="256" t="s">
        <v>948</v>
      </c>
      <c r="B862" s="45" t="s">
        <v>949</v>
      </c>
      <c r="C862" s="45" t="s">
        <v>940</v>
      </c>
      <c r="D862" s="329">
        <v>245</v>
      </c>
      <c r="E862" s="329">
        <v>245</v>
      </c>
      <c r="F862" s="329">
        <v>246.23500000000001</v>
      </c>
      <c r="G862" s="45" t="s">
        <v>950</v>
      </c>
    </row>
    <row r="863" spans="1:7" s="67" customFormat="1">
      <c r="A863" s="256"/>
      <c r="B863" s="258"/>
      <c r="C863" s="259"/>
      <c r="D863" s="332">
        <f>SUM(D861:D862)</f>
        <v>380</v>
      </c>
      <c r="E863" s="332">
        <f>SUM(E861:E862)</f>
        <v>380</v>
      </c>
      <c r="F863" s="332">
        <f>SUM(F861:F862)</f>
        <v>379.99700000000001</v>
      </c>
      <c r="G863" s="259"/>
    </row>
    <row r="864" spans="1:7" s="67" customFormat="1">
      <c r="A864" s="424" t="s">
        <v>951</v>
      </c>
      <c r="B864" s="429" t="s">
        <v>952</v>
      </c>
      <c r="C864" s="45" t="s">
        <v>79</v>
      </c>
      <c r="D864" s="431">
        <v>346.48700000000002</v>
      </c>
      <c r="E864" s="431">
        <v>346.48700000000002</v>
      </c>
      <c r="F864" s="330"/>
      <c r="G864" s="259"/>
    </row>
    <row r="865" spans="1:7" s="67" customFormat="1">
      <c r="A865" s="426"/>
      <c r="B865" s="430"/>
      <c r="C865" s="45" t="s">
        <v>953</v>
      </c>
      <c r="D865" s="432"/>
      <c r="E865" s="432"/>
      <c r="F865" s="330"/>
      <c r="G865" s="259"/>
    </row>
    <row r="866" spans="1:7" s="67" customFormat="1" ht="78.75">
      <c r="A866" s="256" t="s">
        <v>954</v>
      </c>
      <c r="B866" s="257" t="s">
        <v>955</v>
      </c>
      <c r="C866" s="45" t="s">
        <v>79</v>
      </c>
      <c r="D866" s="331">
        <v>776.98699999999997</v>
      </c>
      <c r="E866" s="331">
        <v>776.98699999999997</v>
      </c>
      <c r="F866" s="330"/>
      <c r="G866" s="259"/>
    </row>
    <row r="867" spans="1:7" s="67" customFormat="1">
      <c r="A867" s="256"/>
      <c r="B867" s="258"/>
      <c r="C867" s="259"/>
      <c r="D867" s="332">
        <f>SUM(D864:D866)</f>
        <v>1123.4739999999999</v>
      </c>
      <c r="E867" s="332">
        <f>SUM(E864:E866)</f>
        <v>1123.4739999999999</v>
      </c>
      <c r="F867" s="332">
        <f>SUM(F864:F866)</f>
        <v>0</v>
      </c>
      <c r="G867" s="259"/>
    </row>
    <row r="868" spans="1:7" s="67" customFormat="1" ht="31.5">
      <c r="A868" s="424" t="s">
        <v>956</v>
      </c>
      <c r="B868" s="390" t="s">
        <v>957</v>
      </c>
      <c r="C868" s="45" t="s">
        <v>167</v>
      </c>
      <c r="D868" s="393">
        <v>1353.298</v>
      </c>
      <c r="E868" s="393">
        <v>1353.298</v>
      </c>
      <c r="F868" s="329">
        <v>1240.3230000000001</v>
      </c>
      <c r="G868" s="45" t="s">
        <v>958</v>
      </c>
    </row>
    <row r="869" spans="1:7" s="67" customFormat="1">
      <c r="A869" s="425"/>
      <c r="B869" s="391"/>
      <c r="C869" s="45" t="s">
        <v>64</v>
      </c>
      <c r="D869" s="394"/>
      <c r="E869" s="394"/>
      <c r="F869" s="329">
        <v>18.844000000000001</v>
      </c>
      <c r="G869" s="45" t="s">
        <v>227</v>
      </c>
    </row>
    <row r="870" spans="1:7" s="67" customFormat="1" ht="47.25">
      <c r="A870" s="426"/>
      <c r="B870" s="392"/>
      <c r="C870" s="45" t="s">
        <v>232</v>
      </c>
      <c r="D870" s="395"/>
      <c r="E870" s="395"/>
      <c r="F870" s="329">
        <v>3.78</v>
      </c>
      <c r="G870" s="45" t="s">
        <v>856</v>
      </c>
    </row>
    <row r="871" spans="1:7" s="67" customFormat="1" ht="31.5">
      <c r="A871" s="424" t="s">
        <v>959</v>
      </c>
      <c r="B871" s="390" t="s">
        <v>960</v>
      </c>
      <c r="C871" s="45" t="s">
        <v>167</v>
      </c>
      <c r="D871" s="393">
        <v>1423.2</v>
      </c>
      <c r="E871" s="393">
        <v>1423.2</v>
      </c>
      <c r="F871" s="329">
        <v>1376.3150000000001</v>
      </c>
      <c r="G871" s="45" t="s">
        <v>216</v>
      </c>
    </row>
    <row r="872" spans="1:7" s="67" customFormat="1" ht="47.25">
      <c r="A872" s="425"/>
      <c r="B872" s="391"/>
      <c r="C872" s="45" t="s">
        <v>64</v>
      </c>
      <c r="D872" s="394"/>
      <c r="E872" s="394"/>
      <c r="F872" s="329">
        <v>4.32</v>
      </c>
      <c r="G872" s="45" t="s">
        <v>856</v>
      </c>
    </row>
    <row r="873" spans="1:7" s="67" customFormat="1">
      <c r="A873" s="426"/>
      <c r="B873" s="392"/>
      <c r="C873" s="45" t="s">
        <v>232</v>
      </c>
      <c r="D873" s="395"/>
      <c r="E873" s="395"/>
      <c r="F873" s="329">
        <v>17.001999999999999</v>
      </c>
      <c r="G873" s="45" t="s">
        <v>961</v>
      </c>
    </row>
    <row r="874" spans="1:7" s="67" customFormat="1">
      <c r="A874" s="256"/>
      <c r="B874" s="258"/>
      <c r="C874" s="259"/>
      <c r="D874" s="332">
        <f>SUM(D868:D873)</f>
        <v>2776.498</v>
      </c>
      <c r="E874" s="332">
        <f>SUM(E868:E873)</f>
        <v>2776.498</v>
      </c>
      <c r="F874" s="332">
        <f>SUM(F868:F873)</f>
        <v>2660.5840000000003</v>
      </c>
      <c r="G874" s="259"/>
    </row>
    <row r="875" spans="1:7" s="67" customFormat="1" ht="63">
      <c r="A875" s="256" t="s">
        <v>962</v>
      </c>
      <c r="B875" s="258" t="s">
        <v>963</v>
      </c>
      <c r="C875" s="259" t="s">
        <v>964</v>
      </c>
      <c r="D875" s="329">
        <v>7.5</v>
      </c>
      <c r="E875" s="329">
        <v>7.5</v>
      </c>
      <c r="F875" s="329">
        <v>7.4710000000000001</v>
      </c>
      <c r="G875" s="259" t="s">
        <v>965</v>
      </c>
    </row>
    <row r="876" spans="1:7" s="67" customFormat="1">
      <c r="A876" s="256"/>
      <c r="B876" s="258"/>
      <c r="C876" s="259"/>
      <c r="D876" s="329"/>
      <c r="E876" s="329"/>
      <c r="F876" s="329"/>
      <c r="G876" s="259"/>
    </row>
    <row r="877" spans="1:7" s="67" customFormat="1">
      <c r="A877" s="256"/>
      <c r="B877" s="258"/>
      <c r="C877" s="259"/>
      <c r="D877" s="332">
        <f>D875</f>
        <v>7.5</v>
      </c>
      <c r="E877" s="332">
        <f>E875</f>
        <v>7.5</v>
      </c>
      <c r="F877" s="332">
        <f>F875</f>
        <v>7.4710000000000001</v>
      </c>
      <c r="G877" s="259"/>
    </row>
    <row r="878" spans="1:7" s="67" customFormat="1">
      <c r="A878" s="94"/>
      <c r="B878" s="63" t="s">
        <v>1</v>
      </c>
      <c r="C878" s="288" t="s">
        <v>6</v>
      </c>
      <c r="D878" s="332">
        <f>D798+D801+D827+D848+D852+D857+D860+D863+D867+D874+D877</f>
        <v>19485.014999999999</v>
      </c>
      <c r="E878" s="332">
        <f>E798+E801+E827+E848+E852+E857+E860+E863+E867+E874+E877</f>
        <v>19485.014999999999</v>
      </c>
      <c r="F878" s="332">
        <f>F798+F801+F827+F848+F852+F857+F860+F863+F867+F874+F877</f>
        <v>17505.273390000002</v>
      </c>
      <c r="G878" s="288" t="s">
        <v>6</v>
      </c>
    </row>
    <row r="879" spans="1:7" s="67" customFormat="1">
      <c r="A879" s="387" t="s">
        <v>23</v>
      </c>
      <c r="B879" s="388"/>
      <c r="C879" s="388"/>
      <c r="D879" s="388"/>
      <c r="E879" s="388"/>
      <c r="F879" s="388"/>
      <c r="G879" s="389"/>
    </row>
    <row r="880" spans="1:7" s="67" customFormat="1" ht="47.25">
      <c r="A880" s="36" t="s">
        <v>196</v>
      </c>
      <c r="B880" s="36" t="s">
        <v>238</v>
      </c>
      <c r="C880" s="41" t="s">
        <v>239</v>
      </c>
      <c r="D880" s="41">
        <v>299.64844000000005</v>
      </c>
      <c r="E880" s="41">
        <v>299.64844000000005</v>
      </c>
      <c r="F880" s="41">
        <v>299.64844000000005</v>
      </c>
      <c r="G880" s="41" t="s">
        <v>660</v>
      </c>
    </row>
    <row r="881" spans="1:7" s="67" customFormat="1" ht="47.25">
      <c r="A881" s="36" t="s">
        <v>661</v>
      </c>
      <c r="B881" s="36" t="s">
        <v>662</v>
      </c>
      <c r="C881" s="41" t="s">
        <v>239</v>
      </c>
      <c r="D881" s="41">
        <v>601.34193000000005</v>
      </c>
      <c r="E881" s="41">
        <v>601.34193000000005</v>
      </c>
      <c r="F881" s="41">
        <v>601.34193000000005</v>
      </c>
      <c r="G881" s="41" t="s">
        <v>663</v>
      </c>
    </row>
    <row r="882" spans="1:7" s="67" customFormat="1" ht="63">
      <c r="A882" s="36" t="s">
        <v>664</v>
      </c>
      <c r="B882" s="36" t="s">
        <v>665</v>
      </c>
      <c r="C882" s="41" t="s">
        <v>239</v>
      </c>
      <c r="D882" s="41">
        <v>24.277470000000001</v>
      </c>
      <c r="E882" s="41">
        <v>24.277470000000001</v>
      </c>
      <c r="F882" s="41">
        <v>24.277470000000001</v>
      </c>
      <c r="G882" s="41" t="s">
        <v>666</v>
      </c>
    </row>
    <row r="883" spans="1:7" s="67" customFormat="1" ht="63">
      <c r="A883" s="36" t="s">
        <v>667</v>
      </c>
      <c r="B883" s="36" t="s">
        <v>668</v>
      </c>
      <c r="C883" s="41" t="s">
        <v>239</v>
      </c>
      <c r="D883" s="41">
        <v>47.893230000000003</v>
      </c>
      <c r="E883" s="41">
        <v>47.893230000000003</v>
      </c>
      <c r="F883" s="41">
        <v>47.893230000000003</v>
      </c>
      <c r="G883" s="41" t="s">
        <v>666</v>
      </c>
    </row>
    <row r="884" spans="1:7" s="67" customFormat="1" ht="78.75">
      <c r="A884" s="36" t="s">
        <v>669</v>
      </c>
      <c r="B884" s="36" t="s">
        <v>670</v>
      </c>
      <c r="C884" s="41" t="s">
        <v>239</v>
      </c>
      <c r="D884" s="41">
        <v>150</v>
      </c>
      <c r="E884" s="41">
        <v>150</v>
      </c>
      <c r="F884" s="41">
        <v>150</v>
      </c>
      <c r="G884" s="41" t="s">
        <v>671</v>
      </c>
    </row>
    <row r="885" spans="1:7" s="67" customFormat="1" ht="47.25">
      <c r="A885" s="36" t="s">
        <v>672</v>
      </c>
      <c r="B885" s="36" t="s">
        <v>673</v>
      </c>
      <c r="C885" s="41" t="s">
        <v>239</v>
      </c>
      <c r="D885" s="41">
        <v>298.58413000000002</v>
      </c>
      <c r="E885" s="41">
        <v>298.58413000000002</v>
      </c>
      <c r="F885" s="41">
        <v>298.58413000000002</v>
      </c>
      <c r="G885" s="41" t="s">
        <v>660</v>
      </c>
    </row>
    <row r="886" spans="1:7" s="67" customFormat="1" ht="47.25">
      <c r="A886" s="36" t="s">
        <v>674</v>
      </c>
      <c r="B886" s="36" t="s">
        <v>675</v>
      </c>
      <c r="C886" s="41" t="s">
        <v>239</v>
      </c>
      <c r="D886" s="41">
        <v>75.337599999999995</v>
      </c>
      <c r="E886" s="41">
        <v>75.337599999999995</v>
      </c>
      <c r="F886" s="41">
        <v>75.337599999999995</v>
      </c>
      <c r="G886" s="41" t="s">
        <v>676</v>
      </c>
    </row>
    <row r="887" spans="1:7" s="67" customFormat="1" ht="31.5">
      <c r="A887" s="36" t="s">
        <v>200</v>
      </c>
      <c r="B887" s="36" t="s">
        <v>240</v>
      </c>
      <c r="C887" s="41" t="s">
        <v>201</v>
      </c>
      <c r="D887" s="41">
        <v>1244.1043099999999</v>
      </c>
      <c r="E887" s="41">
        <v>1244.1043099999999</v>
      </c>
      <c r="F887" s="41">
        <v>1244.1043099999999</v>
      </c>
      <c r="G887" s="41" t="s">
        <v>241</v>
      </c>
    </row>
    <row r="888" spans="1:7" s="67" customFormat="1" ht="47.25">
      <c r="A888" s="36" t="s">
        <v>202</v>
      </c>
      <c r="B888" s="36" t="s">
        <v>242</v>
      </c>
      <c r="C888" s="41" t="s">
        <v>201</v>
      </c>
      <c r="D888" s="41">
        <v>451.06806</v>
      </c>
      <c r="E888" s="41">
        <v>451.06806</v>
      </c>
      <c r="F888" s="41">
        <v>451.06806</v>
      </c>
      <c r="G888" s="41" t="s">
        <v>241</v>
      </c>
    </row>
    <row r="889" spans="1:7" s="67" customFormat="1" ht="47.25">
      <c r="A889" s="36" t="s">
        <v>203</v>
      </c>
      <c r="B889" s="36" t="s">
        <v>243</v>
      </c>
      <c r="C889" s="41" t="s">
        <v>201</v>
      </c>
      <c r="D889" s="41">
        <v>2364.5714399999997</v>
      </c>
      <c r="E889" s="41">
        <v>2364.5714399999997</v>
      </c>
      <c r="F889" s="41">
        <v>2364.5714399999997</v>
      </c>
      <c r="G889" s="41" t="s">
        <v>677</v>
      </c>
    </row>
    <row r="890" spans="1:7" s="67" customFormat="1" ht="63">
      <c r="A890" s="36" t="s">
        <v>204</v>
      </c>
      <c r="B890" s="36" t="s">
        <v>244</v>
      </c>
      <c r="C890" s="41" t="s">
        <v>201</v>
      </c>
      <c r="D890" s="41">
        <v>2202.4120699999999</v>
      </c>
      <c r="E890" s="41">
        <v>2202.4120699999999</v>
      </c>
      <c r="F890" s="41">
        <v>2202.4120699999999</v>
      </c>
      <c r="G890" s="41" t="s">
        <v>241</v>
      </c>
    </row>
    <row r="891" spans="1:7" s="67" customFormat="1" ht="63">
      <c r="A891" s="36" t="s">
        <v>205</v>
      </c>
      <c r="B891" s="36" t="s">
        <v>245</v>
      </c>
      <c r="C891" s="41" t="s">
        <v>201</v>
      </c>
      <c r="D891" s="41">
        <v>53.942349999999998</v>
      </c>
      <c r="E891" s="41">
        <v>53.942349999999998</v>
      </c>
      <c r="F891" s="41">
        <v>53.942349999999998</v>
      </c>
      <c r="G891" s="41" t="s">
        <v>678</v>
      </c>
    </row>
    <row r="892" spans="1:7" s="67" customFormat="1" ht="63">
      <c r="A892" s="36" t="s">
        <v>206</v>
      </c>
      <c r="B892" s="40" t="s">
        <v>246</v>
      </c>
      <c r="C892" s="41" t="s">
        <v>201</v>
      </c>
      <c r="D892" s="41">
        <v>56.201929999999997</v>
      </c>
      <c r="E892" s="41">
        <v>56.201929999999997</v>
      </c>
      <c r="F892" s="41">
        <v>56.201929999999997</v>
      </c>
      <c r="G892" s="41" t="s">
        <v>678</v>
      </c>
    </row>
    <row r="893" spans="1:7" s="67" customFormat="1" ht="63">
      <c r="A893" s="36" t="s">
        <v>207</v>
      </c>
      <c r="B893" s="36" t="s">
        <v>247</v>
      </c>
      <c r="C893" s="41" t="s">
        <v>201</v>
      </c>
      <c r="D893" s="41">
        <v>78.069220000000001</v>
      </c>
      <c r="E893" s="41">
        <v>78.069220000000001</v>
      </c>
      <c r="F893" s="41">
        <v>78.069220000000001</v>
      </c>
      <c r="G893" s="41" t="s">
        <v>678</v>
      </c>
    </row>
    <row r="894" spans="1:7" s="67" customFormat="1" ht="63">
      <c r="A894" s="36" t="s">
        <v>208</v>
      </c>
      <c r="B894" s="40" t="s">
        <v>248</v>
      </c>
      <c r="C894" s="41" t="s">
        <v>201</v>
      </c>
      <c r="D894" s="41">
        <v>52.580309999999997</v>
      </c>
      <c r="E894" s="41">
        <v>52.580309999999997</v>
      </c>
      <c r="F894" s="41">
        <v>52.580309999999997</v>
      </c>
      <c r="G894" s="41" t="s">
        <v>678</v>
      </c>
    </row>
    <row r="895" spans="1:7" s="67" customFormat="1" ht="63">
      <c r="A895" s="36" t="s">
        <v>209</v>
      </c>
      <c r="B895" s="40" t="s">
        <v>249</v>
      </c>
      <c r="C895" s="41" t="s">
        <v>201</v>
      </c>
      <c r="D895" s="41">
        <v>74.645809999999997</v>
      </c>
      <c r="E895" s="41">
        <v>74.645809999999997</v>
      </c>
      <c r="F895" s="41">
        <v>74.645809999999997</v>
      </c>
      <c r="G895" s="41" t="s">
        <v>678</v>
      </c>
    </row>
    <row r="896" spans="1:7" s="67" customFormat="1" ht="47.25">
      <c r="A896" s="36" t="s">
        <v>679</v>
      </c>
      <c r="B896" s="40" t="s">
        <v>680</v>
      </c>
      <c r="C896" s="41" t="s">
        <v>201</v>
      </c>
      <c r="D896" s="41">
        <v>299.86426</v>
      </c>
      <c r="E896" s="41">
        <v>299.86426</v>
      </c>
      <c r="F896" s="41">
        <v>299.86426</v>
      </c>
      <c r="G896" s="41" t="s">
        <v>681</v>
      </c>
    </row>
    <row r="897" spans="1:7" s="67" customFormat="1" ht="63">
      <c r="A897" s="36" t="s">
        <v>682</v>
      </c>
      <c r="B897" s="40" t="s">
        <v>683</v>
      </c>
      <c r="C897" s="41" t="s">
        <v>201</v>
      </c>
      <c r="D897" s="41">
        <v>7.63415</v>
      </c>
      <c r="E897" s="41">
        <v>7.63415</v>
      </c>
      <c r="F897" s="41">
        <v>7.63415</v>
      </c>
      <c r="G897" s="41" t="s">
        <v>678</v>
      </c>
    </row>
    <row r="898" spans="1:7" s="67" customFormat="1" ht="63">
      <c r="A898" s="36" t="s">
        <v>684</v>
      </c>
      <c r="B898" s="40" t="s">
        <v>685</v>
      </c>
      <c r="C898" s="41" t="s">
        <v>201</v>
      </c>
      <c r="D898" s="41">
        <v>81.708399999999997</v>
      </c>
      <c r="E898" s="41">
        <v>81.708399999999997</v>
      </c>
      <c r="F898" s="41">
        <v>81.708399999999997</v>
      </c>
      <c r="G898" s="41" t="s">
        <v>678</v>
      </c>
    </row>
    <row r="899" spans="1:7" s="67" customFormat="1" ht="63">
      <c r="A899" s="36" t="s">
        <v>686</v>
      </c>
      <c r="B899" s="40" t="s">
        <v>687</v>
      </c>
      <c r="C899" s="41" t="s">
        <v>201</v>
      </c>
      <c r="D899" s="41">
        <v>74.345250000000007</v>
      </c>
      <c r="E899" s="41">
        <v>74.345250000000007</v>
      </c>
      <c r="F899" s="41">
        <v>74.345250000000007</v>
      </c>
      <c r="G899" s="41" t="s">
        <v>678</v>
      </c>
    </row>
    <row r="900" spans="1:7" s="67" customFormat="1" ht="78.75">
      <c r="A900" s="36" t="s">
        <v>688</v>
      </c>
      <c r="B900" s="40" t="s">
        <v>689</v>
      </c>
      <c r="C900" s="41" t="s">
        <v>201</v>
      </c>
      <c r="D900" s="41">
        <v>81.657910000000001</v>
      </c>
      <c r="E900" s="41">
        <v>81.657910000000001</v>
      </c>
      <c r="F900" s="41">
        <v>81.657910000000001</v>
      </c>
      <c r="G900" s="41" t="s">
        <v>678</v>
      </c>
    </row>
    <row r="901" spans="1:7" s="67" customFormat="1" ht="47.25">
      <c r="A901" s="36" t="s">
        <v>250</v>
      </c>
      <c r="B901" s="36" t="s">
        <v>251</v>
      </c>
      <c r="C901" s="41" t="s">
        <v>210</v>
      </c>
      <c r="D901" s="41">
        <v>841.49927000000002</v>
      </c>
      <c r="E901" s="41">
        <v>841.49927000000002</v>
      </c>
      <c r="F901" s="41">
        <v>841.49927000000002</v>
      </c>
      <c r="G901" s="41" t="s">
        <v>252</v>
      </c>
    </row>
    <row r="902" spans="1:7" s="67" customFormat="1" ht="31.5">
      <c r="A902" s="36" t="s">
        <v>253</v>
      </c>
      <c r="B902" s="36" t="s">
        <v>254</v>
      </c>
      <c r="C902" s="41" t="s">
        <v>210</v>
      </c>
      <c r="D902" s="41">
        <v>347.97575999999998</v>
      </c>
      <c r="E902" s="41">
        <v>347.97575999999998</v>
      </c>
      <c r="F902" s="41">
        <v>347.97575999999998</v>
      </c>
      <c r="G902" s="41" t="s">
        <v>241</v>
      </c>
    </row>
    <row r="903" spans="1:7" s="67" customFormat="1" ht="47.25">
      <c r="A903" s="36" t="s">
        <v>690</v>
      </c>
      <c r="B903" s="36" t="s">
        <v>691</v>
      </c>
      <c r="C903" s="41" t="s">
        <v>210</v>
      </c>
      <c r="D903" s="41">
        <v>754.36938000000009</v>
      </c>
      <c r="E903" s="41">
        <v>754.36938000000009</v>
      </c>
      <c r="F903" s="41">
        <v>754.36938000000009</v>
      </c>
      <c r="G903" s="41" t="s">
        <v>266</v>
      </c>
    </row>
    <row r="904" spans="1:7" s="67" customFormat="1" ht="31.5">
      <c r="A904" s="36" t="s">
        <v>692</v>
      </c>
      <c r="B904" s="36" t="s">
        <v>693</v>
      </c>
      <c r="C904" s="41" t="s">
        <v>210</v>
      </c>
      <c r="D904" s="41">
        <v>280.64062000000001</v>
      </c>
      <c r="E904" s="41">
        <v>280.64062000000001</v>
      </c>
      <c r="F904" s="41">
        <v>280.64062000000001</v>
      </c>
      <c r="G904" s="41" t="s">
        <v>681</v>
      </c>
    </row>
    <row r="905" spans="1:7" s="67" customFormat="1" ht="31.5">
      <c r="A905" s="36" t="s">
        <v>694</v>
      </c>
      <c r="B905" s="36" t="s">
        <v>695</v>
      </c>
      <c r="C905" s="41" t="s">
        <v>210</v>
      </c>
      <c r="D905" s="41">
        <v>193.67170000000002</v>
      </c>
      <c r="E905" s="41">
        <v>193.67170000000002</v>
      </c>
      <c r="F905" s="41">
        <v>193.67170000000002</v>
      </c>
      <c r="G905" s="41" t="s">
        <v>676</v>
      </c>
    </row>
    <row r="906" spans="1:7" s="67" customFormat="1" ht="63">
      <c r="A906" s="36" t="s">
        <v>696</v>
      </c>
      <c r="B906" s="36" t="s">
        <v>697</v>
      </c>
      <c r="C906" s="41" t="s">
        <v>210</v>
      </c>
      <c r="D906" s="41">
        <v>66</v>
      </c>
      <c r="E906" s="41">
        <v>66</v>
      </c>
      <c r="F906" s="41">
        <v>66</v>
      </c>
      <c r="G906" s="41" t="s">
        <v>698</v>
      </c>
    </row>
    <row r="907" spans="1:7" s="67" customFormat="1" ht="63">
      <c r="A907" s="36" t="s">
        <v>699</v>
      </c>
      <c r="B907" s="36" t="s">
        <v>700</v>
      </c>
      <c r="C907" s="41" t="s">
        <v>210</v>
      </c>
      <c r="D907" s="41">
        <v>64.923180000000002</v>
      </c>
      <c r="E907" s="41">
        <v>64.923180000000002</v>
      </c>
      <c r="F907" s="41">
        <v>64.923180000000002</v>
      </c>
      <c r="G907" s="41" t="s">
        <v>666</v>
      </c>
    </row>
    <row r="908" spans="1:7" s="67" customFormat="1" ht="63">
      <c r="A908" s="36" t="s">
        <v>701</v>
      </c>
      <c r="B908" s="36" t="s">
        <v>702</v>
      </c>
      <c r="C908" s="41" t="s">
        <v>210</v>
      </c>
      <c r="D908" s="41">
        <v>65.017679999999999</v>
      </c>
      <c r="E908" s="41">
        <v>65.017679999999999</v>
      </c>
      <c r="F908" s="41">
        <v>65.017679999999999</v>
      </c>
      <c r="G908" s="41" t="s">
        <v>666</v>
      </c>
    </row>
    <row r="909" spans="1:7" s="67" customFormat="1" ht="63">
      <c r="A909" s="36" t="s">
        <v>211</v>
      </c>
      <c r="B909" s="36" t="s">
        <v>255</v>
      </c>
      <c r="C909" s="41" t="s">
        <v>212</v>
      </c>
      <c r="D909" s="41">
        <v>313.4676</v>
      </c>
      <c r="E909" s="41">
        <v>313.4676</v>
      </c>
      <c r="F909" s="41">
        <v>313.4676</v>
      </c>
      <c r="G909" s="41" t="s">
        <v>213</v>
      </c>
    </row>
    <row r="910" spans="1:7" s="67" customFormat="1" ht="47.25">
      <c r="A910" s="36" t="s">
        <v>256</v>
      </c>
      <c r="B910" s="36" t="s">
        <v>257</v>
      </c>
      <c r="C910" s="41" t="s">
        <v>212</v>
      </c>
      <c r="D910" s="41">
        <v>271.62568999999996</v>
      </c>
      <c r="E910" s="41">
        <v>271.62568999999996</v>
      </c>
      <c r="F910" s="41">
        <v>271.62568999999996</v>
      </c>
      <c r="G910" s="41" t="s">
        <v>213</v>
      </c>
    </row>
    <row r="911" spans="1:7" s="67" customFormat="1" ht="78.75">
      <c r="A911" s="36" t="s">
        <v>214</v>
      </c>
      <c r="B911" s="36" t="s">
        <v>258</v>
      </c>
      <c r="C911" s="41" t="s">
        <v>212</v>
      </c>
      <c r="D911" s="41">
        <v>74.384240000000005</v>
      </c>
      <c r="E911" s="41">
        <v>74.384240000000005</v>
      </c>
      <c r="F911" s="41">
        <v>74.384240000000005</v>
      </c>
      <c r="G911" s="41" t="s">
        <v>703</v>
      </c>
    </row>
    <row r="912" spans="1:7" s="67" customFormat="1" ht="47.25">
      <c r="A912" s="21" t="s">
        <v>704</v>
      </c>
      <c r="B912" s="21" t="s">
        <v>705</v>
      </c>
      <c r="C912" s="41" t="s">
        <v>706</v>
      </c>
      <c r="D912" s="41">
        <v>68.308250000000001</v>
      </c>
      <c r="E912" s="41">
        <v>68.308250000000001</v>
      </c>
      <c r="F912" s="41">
        <v>68.308250000000001</v>
      </c>
      <c r="G912" s="41" t="s">
        <v>660</v>
      </c>
    </row>
    <row r="913" spans="1:7" s="67" customFormat="1" ht="47.25">
      <c r="A913" s="21" t="s">
        <v>707</v>
      </c>
      <c r="B913" s="21" t="s">
        <v>708</v>
      </c>
      <c r="C913" s="41" t="s">
        <v>706</v>
      </c>
      <c r="D913" s="41">
        <v>71.229040000000012</v>
      </c>
      <c r="E913" s="41">
        <v>71.229040000000012</v>
      </c>
      <c r="F913" s="41">
        <v>71.229040000000012</v>
      </c>
      <c r="G913" s="41" t="s">
        <v>660</v>
      </c>
    </row>
    <row r="914" spans="1:7" s="67" customFormat="1" ht="78.75">
      <c r="A914" s="21" t="s">
        <v>709</v>
      </c>
      <c r="B914" s="21" t="s">
        <v>710</v>
      </c>
      <c r="C914" s="41" t="s">
        <v>706</v>
      </c>
      <c r="D914" s="41">
        <v>17.971</v>
      </c>
      <c r="E914" s="41">
        <v>17.971</v>
      </c>
      <c r="F914" s="41">
        <v>17.971</v>
      </c>
      <c r="G914" s="41" t="s">
        <v>698</v>
      </c>
    </row>
    <row r="915" spans="1:7" s="67" customFormat="1" ht="63">
      <c r="A915" s="21" t="s">
        <v>711</v>
      </c>
      <c r="B915" s="21" t="s">
        <v>712</v>
      </c>
      <c r="C915" s="41" t="s">
        <v>706</v>
      </c>
      <c r="D915" s="41">
        <v>10.855</v>
      </c>
      <c r="E915" s="41">
        <v>10.855</v>
      </c>
      <c r="F915" s="41">
        <v>10.855</v>
      </c>
      <c r="G915" s="41" t="s">
        <v>698</v>
      </c>
    </row>
    <row r="916" spans="1:7" s="67" customFormat="1" ht="63">
      <c r="A916" s="21" t="s">
        <v>713</v>
      </c>
      <c r="B916" s="21" t="s">
        <v>714</v>
      </c>
      <c r="C916" s="41" t="s">
        <v>706</v>
      </c>
      <c r="D916" s="41">
        <v>16.074000000000002</v>
      </c>
      <c r="E916" s="41">
        <v>16.074000000000002</v>
      </c>
      <c r="F916" s="41">
        <v>16.074000000000002</v>
      </c>
      <c r="G916" s="41" t="s">
        <v>698</v>
      </c>
    </row>
    <row r="917" spans="1:7" s="67" customFormat="1" ht="31.5">
      <c r="A917" s="36" t="s">
        <v>215</v>
      </c>
      <c r="B917" s="36" t="s">
        <v>259</v>
      </c>
      <c r="C917" s="41" t="s">
        <v>140</v>
      </c>
      <c r="D917" s="41">
        <v>572.77874999999995</v>
      </c>
      <c r="E917" s="41">
        <v>572.77874999999995</v>
      </c>
      <c r="F917" s="41">
        <v>572.77874999999995</v>
      </c>
      <c r="G917" s="41" t="s">
        <v>216</v>
      </c>
    </row>
    <row r="918" spans="1:7" s="67" customFormat="1" ht="63">
      <c r="A918" s="36" t="s">
        <v>217</v>
      </c>
      <c r="B918" s="36" t="s">
        <v>715</v>
      </c>
      <c r="C918" s="41" t="s">
        <v>218</v>
      </c>
      <c r="D918" s="41">
        <v>560.47573999999997</v>
      </c>
      <c r="E918" s="41">
        <v>560.47573999999997</v>
      </c>
      <c r="F918" s="41">
        <v>560.47573999999997</v>
      </c>
      <c r="G918" s="41" t="s">
        <v>216</v>
      </c>
    </row>
    <row r="919" spans="1:7" s="67" customFormat="1" ht="47.25">
      <c r="A919" s="36" t="s">
        <v>219</v>
      </c>
      <c r="B919" s="36" t="s">
        <v>716</v>
      </c>
      <c r="C919" s="41" t="s">
        <v>218</v>
      </c>
      <c r="D919" s="41">
        <v>1245.9708199999998</v>
      </c>
      <c r="E919" s="41">
        <v>1245.9708199999998</v>
      </c>
      <c r="F919" s="41">
        <v>1245.9708199999998</v>
      </c>
      <c r="G919" s="41" t="s">
        <v>677</v>
      </c>
    </row>
    <row r="920" spans="1:7" s="67" customFormat="1" ht="47.25">
      <c r="A920" s="36" t="s">
        <v>260</v>
      </c>
      <c r="B920" s="36" t="s">
        <v>261</v>
      </c>
      <c r="C920" s="41" t="s">
        <v>218</v>
      </c>
      <c r="D920" s="41">
        <v>1139.3033600000001</v>
      </c>
      <c r="E920" s="41">
        <v>1139.3033600000001</v>
      </c>
      <c r="F920" s="41">
        <v>1139.3033600000001</v>
      </c>
      <c r="G920" s="41" t="s">
        <v>216</v>
      </c>
    </row>
    <row r="921" spans="1:7" s="67" customFormat="1" ht="47.25">
      <c r="A921" s="36" t="s">
        <v>220</v>
      </c>
      <c r="B921" s="36" t="s">
        <v>717</v>
      </c>
      <c r="C921" s="41" t="s">
        <v>218</v>
      </c>
      <c r="D921" s="41">
        <v>845.67885999999999</v>
      </c>
      <c r="E921" s="41">
        <v>845.67885999999999</v>
      </c>
      <c r="F921" s="41">
        <v>845.67885999999999</v>
      </c>
      <c r="G921" s="41" t="s">
        <v>216</v>
      </c>
    </row>
    <row r="922" spans="1:7" s="67" customFormat="1" ht="63">
      <c r="A922" s="36" t="s">
        <v>221</v>
      </c>
      <c r="B922" s="36" t="s">
        <v>718</v>
      </c>
      <c r="C922" s="41" t="s">
        <v>218</v>
      </c>
      <c r="D922" s="41">
        <v>1066.0447899999999</v>
      </c>
      <c r="E922" s="41">
        <v>1066.0447899999999</v>
      </c>
      <c r="F922" s="41">
        <v>1066.0447899999999</v>
      </c>
      <c r="G922" s="41" t="s">
        <v>216</v>
      </c>
    </row>
    <row r="923" spans="1:7" s="67" customFormat="1" ht="63">
      <c r="A923" s="36" t="s">
        <v>719</v>
      </c>
      <c r="B923" s="36" t="s">
        <v>720</v>
      </c>
      <c r="C923" s="41" t="s">
        <v>218</v>
      </c>
      <c r="D923" s="41">
        <v>51.486539999999998</v>
      </c>
      <c r="E923" s="41">
        <v>51.486539999999998</v>
      </c>
      <c r="F923" s="41">
        <v>51.486539999999998</v>
      </c>
      <c r="G923" s="41" t="s">
        <v>666</v>
      </c>
    </row>
    <row r="924" spans="1:7" s="67" customFormat="1" ht="63">
      <c r="A924" s="36" t="s">
        <v>262</v>
      </c>
      <c r="B924" s="36" t="s">
        <v>263</v>
      </c>
      <c r="C924" s="41" t="s">
        <v>218</v>
      </c>
      <c r="D924" s="41">
        <v>296.98921999999999</v>
      </c>
      <c r="E924" s="41">
        <v>296.98921999999999</v>
      </c>
      <c r="F924" s="41">
        <v>296.98921999999999</v>
      </c>
      <c r="G924" s="41" t="s">
        <v>241</v>
      </c>
    </row>
    <row r="925" spans="1:7" s="67" customFormat="1" ht="47.25">
      <c r="A925" s="36" t="s">
        <v>264</v>
      </c>
      <c r="B925" s="36" t="s">
        <v>265</v>
      </c>
      <c r="C925" s="41" t="s">
        <v>218</v>
      </c>
      <c r="D925" s="41">
        <v>1208.9307799999999</v>
      </c>
      <c r="E925" s="41">
        <v>1208.9307799999999</v>
      </c>
      <c r="F925" s="41">
        <v>1208.9307799999999</v>
      </c>
      <c r="G925" s="49" t="s">
        <v>266</v>
      </c>
    </row>
    <row r="926" spans="1:7" s="67" customFormat="1" ht="63">
      <c r="A926" s="36" t="s">
        <v>267</v>
      </c>
      <c r="B926" s="36" t="s">
        <v>268</v>
      </c>
      <c r="C926" s="41" t="s">
        <v>218</v>
      </c>
      <c r="D926" s="41">
        <v>1492.5575200000001</v>
      </c>
      <c r="E926" s="41">
        <v>1492.5575200000001</v>
      </c>
      <c r="F926" s="41">
        <v>1492.5575200000001</v>
      </c>
      <c r="G926" s="41" t="s">
        <v>681</v>
      </c>
    </row>
    <row r="927" spans="1:7" s="67" customFormat="1" ht="63">
      <c r="A927" s="36" t="s">
        <v>269</v>
      </c>
      <c r="B927" s="36" t="s">
        <v>270</v>
      </c>
      <c r="C927" s="41" t="s">
        <v>218</v>
      </c>
      <c r="D927" s="41">
        <v>1496.8127500000001</v>
      </c>
      <c r="E927" s="41">
        <v>1496.8127500000001</v>
      </c>
      <c r="F927" s="41">
        <v>1496.8127500000001</v>
      </c>
      <c r="G927" s="41" t="s">
        <v>677</v>
      </c>
    </row>
    <row r="928" spans="1:7" s="67" customFormat="1" ht="78.75">
      <c r="A928" s="36" t="s">
        <v>271</v>
      </c>
      <c r="B928" s="36" t="s">
        <v>272</v>
      </c>
      <c r="C928" s="41" t="s">
        <v>218</v>
      </c>
      <c r="D928" s="41">
        <v>1973.4254300000002</v>
      </c>
      <c r="E928" s="41">
        <v>1973.4254300000002</v>
      </c>
      <c r="F928" s="41">
        <v>1973.4254300000002</v>
      </c>
      <c r="G928" s="41" t="s">
        <v>681</v>
      </c>
    </row>
    <row r="929" spans="1:7" s="67" customFormat="1" ht="63">
      <c r="A929" s="36" t="s">
        <v>721</v>
      </c>
      <c r="B929" s="36" t="s">
        <v>722</v>
      </c>
      <c r="C929" s="41" t="s">
        <v>218</v>
      </c>
      <c r="D929" s="41">
        <v>46.786740000000002</v>
      </c>
      <c r="E929" s="41">
        <v>46.786740000000002</v>
      </c>
      <c r="F929" s="41">
        <v>46.786740000000002</v>
      </c>
      <c r="G929" s="41" t="s">
        <v>666</v>
      </c>
    </row>
    <row r="930" spans="1:7" s="67" customFormat="1" ht="63">
      <c r="A930" s="36" t="s">
        <v>723</v>
      </c>
      <c r="B930" s="36" t="s">
        <v>724</v>
      </c>
      <c r="C930" s="41" t="s">
        <v>218</v>
      </c>
      <c r="D930" s="41">
        <v>34.579439999999998</v>
      </c>
      <c r="E930" s="41">
        <v>34.579439999999998</v>
      </c>
      <c r="F930" s="41">
        <v>34.579439999999998</v>
      </c>
      <c r="G930" s="41" t="s">
        <v>666</v>
      </c>
    </row>
    <row r="931" spans="1:7" s="67" customFormat="1" ht="63">
      <c r="A931" s="36" t="s">
        <v>725</v>
      </c>
      <c r="B931" s="36" t="s">
        <v>726</v>
      </c>
      <c r="C931" s="41" t="s">
        <v>218</v>
      </c>
      <c r="D931" s="41">
        <v>79.557820000000007</v>
      </c>
      <c r="E931" s="41">
        <v>79.557820000000007</v>
      </c>
      <c r="F931" s="41">
        <v>79.557820000000007</v>
      </c>
      <c r="G931" s="41" t="s">
        <v>666</v>
      </c>
    </row>
    <row r="932" spans="1:7" s="67" customFormat="1" ht="63">
      <c r="A932" s="36" t="s">
        <v>727</v>
      </c>
      <c r="B932" s="36" t="s">
        <v>728</v>
      </c>
      <c r="C932" s="41" t="s">
        <v>218</v>
      </c>
      <c r="D932" s="41">
        <v>81.5</v>
      </c>
      <c r="E932" s="41">
        <v>81.5</v>
      </c>
      <c r="F932" s="41">
        <v>81.5</v>
      </c>
      <c r="G932" s="41" t="s">
        <v>729</v>
      </c>
    </row>
    <row r="933" spans="1:7" s="67" customFormat="1" ht="78.75">
      <c r="A933" s="36" t="s">
        <v>222</v>
      </c>
      <c r="B933" s="36" t="s">
        <v>222</v>
      </c>
      <c r="C933" s="41" t="s">
        <v>223</v>
      </c>
      <c r="D933" s="41">
        <v>239.19938999999997</v>
      </c>
      <c r="E933" s="41">
        <v>239.19938999999997</v>
      </c>
      <c r="F933" s="41">
        <v>239.19938999999997</v>
      </c>
      <c r="G933" s="41" t="s">
        <v>730</v>
      </c>
    </row>
    <row r="934" spans="1:7" s="67" customFormat="1">
      <c r="A934" s="94"/>
      <c r="B934" s="63" t="s">
        <v>1</v>
      </c>
      <c r="C934" s="288" t="s">
        <v>6</v>
      </c>
      <c r="D934" s="319">
        <f>SUM(D880:D933)</f>
        <v>24509.978630000005</v>
      </c>
      <c r="E934" s="319">
        <f t="shared" ref="E934:F934" si="7">SUM(E880:E933)</f>
        <v>24509.978630000005</v>
      </c>
      <c r="F934" s="319">
        <f t="shared" si="7"/>
        <v>24509.978630000005</v>
      </c>
      <c r="G934" s="288" t="s">
        <v>6</v>
      </c>
    </row>
    <row r="935" spans="1:7" s="308" customFormat="1">
      <c r="A935" s="387" t="s">
        <v>24</v>
      </c>
      <c r="B935" s="388"/>
      <c r="C935" s="388"/>
      <c r="D935" s="388"/>
      <c r="E935" s="388"/>
      <c r="F935" s="388"/>
      <c r="G935" s="389"/>
    </row>
    <row r="936" spans="1:7" s="67" customFormat="1" ht="31.5">
      <c r="A936" s="36" t="s">
        <v>143</v>
      </c>
      <c r="B936" s="73" t="s">
        <v>144</v>
      </c>
      <c r="C936" s="73" t="s">
        <v>144</v>
      </c>
      <c r="D936" s="168">
        <v>75.698999999999998</v>
      </c>
      <c r="E936" s="259">
        <v>75.698999999999998</v>
      </c>
      <c r="F936" s="168">
        <v>75.698999999999998</v>
      </c>
      <c r="G936" s="168" t="s">
        <v>145</v>
      </c>
    </row>
    <row r="937" spans="1:7" s="67" customFormat="1">
      <c r="A937" s="36" t="s">
        <v>143</v>
      </c>
      <c r="B937" s="73" t="s">
        <v>146</v>
      </c>
      <c r="C937" s="73" t="s">
        <v>146</v>
      </c>
      <c r="D937" s="168">
        <v>4.1440000000000001</v>
      </c>
      <c r="E937" s="259">
        <v>4.1440000000000001</v>
      </c>
      <c r="F937" s="168">
        <v>4.1440000000000001</v>
      </c>
      <c r="G937" s="168" t="s">
        <v>147</v>
      </c>
    </row>
    <row r="938" spans="1:7" s="67" customFormat="1">
      <c r="A938" s="36" t="s">
        <v>143</v>
      </c>
      <c r="B938" s="73" t="s">
        <v>146</v>
      </c>
      <c r="C938" s="73" t="s">
        <v>146</v>
      </c>
      <c r="D938" s="168">
        <v>1.6639999999999999</v>
      </c>
      <c r="E938" s="259">
        <v>1.6639999999999999</v>
      </c>
      <c r="F938" s="168">
        <v>1.6639999999999999</v>
      </c>
      <c r="G938" s="168" t="s">
        <v>147</v>
      </c>
    </row>
    <row r="939" spans="1:7" s="67" customFormat="1">
      <c r="A939" s="36" t="s">
        <v>148</v>
      </c>
      <c r="B939" s="73" t="s">
        <v>149</v>
      </c>
      <c r="C939" s="168" t="s">
        <v>150</v>
      </c>
      <c r="D939" s="168">
        <v>7.3680000000000003</v>
      </c>
      <c r="E939" s="259">
        <v>7.3680000000000003</v>
      </c>
      <c r="F939" s="168">
        <v>7.3680000000000003</v>
      </c>
      <c r="G939" s="168" t="s">
        <v>147</v>
      </c>
    </row>
    <row r="940" spans="1:7" s="67" customFormat="1">
      <c r="A940" s="36" t="s">
        <v>151</v>
      </c>
      <c r="B940" s="73" t="s">
        <v>152</v>
      </c>
      <c r="C940" s="168" t="s">
        <v>150</v>
      </c>
      <c r="D940" s="168">
        <v>6.94</v>
      </c>
      <c r="E940" s="259">
        <v>6.94</v>
      </c>
      <c r="F940" s="168">
        <v>6.94</v>
      </c>
      <c r="G940" s="168" t="s">
        <v>147</v>
      </c>
    </row>
    <row r="941" spans="1:7" s="67" customFormat="1" ht="31.5">
      <c r="A941" s="168" t="s">
        <v>153</v>
      </c>
      <c r="B941" s="168" t="s">
        <v>153</v>
      </c>
      <c r="C941" s="168" t="s">
        <v>150</v>
      </c>
      <c r="D941" s="168">
        <v>1.8779999999999999</v>
      </c>
      <c r="E941" s="259">
        <v>1.8779999999999999</v>
      </c>
      <c r="F941" s="168">
        <v>1.8779999999999999</v>
      </c>
      <c r="G941" s="168" t="s">
        <v>147</v>
      </c>
    </row>
    <row r="942" spans="1:7" s="67" customFormat="1">
      <c r="A942" s="168" t="s">
        <v>150</v>
      </c>
      <c r="B942" s="168" t="s">
        <v>150</v>
      </c>
      <c r="C942" s="168" t="s">
        <v>150</v>
      </c>
      <c r="D942" s="168">
        <v>2.06</v>
      </c>
      <c r="E942" s="259">
        <v>2.06</v>
      </c>
      <c r="F942" s="168">
        <v>2.06</v>
      </c>
      <c r="G942" s="168" t="s">
        <v>147</v>
      </c>
    </row>
    <row r="943" spans="1:7" s="67" customFormat="1">
      <c r="A943" s="36" t="s">
        <v>154</v>
      </c>
      <c r="B943" s="36" t="s">
        <v>154</v>
      </c>
      <c r="C943" s="168" t="s">
        <v>150</v>
      </c>
      <c r="D943" s="168">
        <v>2.7450000000000001</v>
      </c>
      <c r="E943" s="259">
        <v>2.7450000000000001</v>
      </c>
      <c r="F943" s="168">
        <v>2.7450000000000001</v>
      </c>
      <c r="G943" s="168" t="s">
        <v>147</v>
      </c>
    </row>
    <row r="944" spans="1:7" s="67" customFormat="1">
      <c r="A944" s="36" t="s">
        <v>154</v>
      </c>
      <c r="B944" s="36" t="s">
        <v>154</v>
      </c>
      <c r="C944" s="260" t="s">
        <v>155</v>
      </c>
      <c r="D944" s="168">
        <v>106.218</v>
      </c>
      <c r="E944" s="259">
        <v>106.218</v>
      </c>
      <c r="F944" s="168">
        <v>106.218</v>
      </c>
      <c r="G944" s="168" t="s">
        <v>156</v>
      </c>
    </row>
    <row r="945" spans="1:7" s="67" customFormat="1">
      <c r="A945" s="168" t="s">
        <v>153</v>
      </c>
      <c r="B945" s="260" t="s">
        <v>155</v>
      </c>
      <c r="C945" s="260" t="s">
        <v>155</v>
      </c>
      <c r="D945" s="168">
        <v>106.19</v>
      </c>
      <c r="E945" s="259">
        <v>106.19</v>
      </c>
      <c r="F945" s="168">
        <v>106.19</v>
      </c>
      <c r="G945" s="168" t="s">
        <v>156</v>
      </c>
    </row>
    <row r="946" spans="1:7" s="67" customFormat="1">
      <c r="A946" s="36" t="s">
        <v>157</v>
      </c>
      <c r="B946" s="260" t="s">
        <v>155</v>
      </c>
      <c r="C946" s="260" t="s">
        <v>155</v>
      </c>
      <c r="D946" s="168">
        <v>96.64</v>
      </c>
      <c r="E946" s="259">
        <v>96.64</v>
      </c>
      <c r="F946" s="168">
        <v>96.64</v>
      </c>
      <c r="G946" s="168" t="s">
        <v>156</v>
      </c>
    </row>
    <row r="947" spans="1:7" s="67" customFormat="1">
      <c r="A947" s="36" t="s">
        <v>158</v>
      </c>
      <c r="B947" s="260" t="s">
        <v>155</v>
      </c>
      <c r="C947" s="260" t="s">
        <v>155</v>
      </c>
      <c r="D947" s="168">
        <v>62.216999999999999</v>
      </c>
      <c r="E947" s="259">
        <v>62.216999999999999</v>
      </c>
      <c r="F947" s="168">
        <v>62.216999999999999</v>
      </c>
      <c r="G947" s="168" t="s">
        <v>156</v>
      </c>
    </row>
    <row r="948" spans="1:7" s="67" customFormat="1" ht="31.5">
      <c r="A948" s="36" t="s">
        <v>160</v>
      </c>
      <c r="B948" s="260" t="s">
        <v>161</v>
      </c>
      <c r="C948" s="260" t="s">
        <v>161</v>
      </c>
      <c r="D948" s="240">
        <v>2090.8879999999999</v>
      </c>
      <c r="E948" s="240">
        <v>1799.999</v>
      </c>
      <c r="F948" s="240">
        <v>1590.3320000000001</v>
      </c>
      <c r="G948" s="168" t="s">
        <v>282</v>
      </c>
    </row>
    <row r="949" spans="1:7" s="67" customFormat="1" ht="31.5">
      <c r="A949" s="36" t="s">
        <v>162</v>
      </c>
      <c r="B949" s="260" t="s">
        <v>161</v>
      </c>
      <c r="C949" s="260" t="s">
        <v>161</v>
      </c>
      <c r="D949" s="240">
        <v>1537.0820000000001</v>
      </c>
      <c r="E949" s="240">
        <v>1399.999</v>
      </c>
      <c r="F949" s="240">
        <v>1299.4380000000001</v>
      </c>
      <c r="G949" s="168" t="s">
        <v>282</v>
      </c>
    </row>
    <row r="950" spans="1:7" s="67" customFormat="1" ht="31.5">
      <c r="A950" s="36" t="s">
        <v>163</v>
      </c>
      <c r="B950" s="260" t="s">
        <v>161</v>
      </c>
      <c r="C950" s="260" t="s">
        <v>161</v>
      </c>
      <c r="D950" s="240">
        <v>2719.4229999999998</v>
      </c>
      <c r="E950" s="240">
        <v>2469.2339999999999</v>
      </c>
      <c r="F950" s="240">
        <v>1234.617</v>
      </c>
      <c r="G950" s="168" t="s">
        <v>282</v>
      </c>
    </row>
    <row r="951" spans="1:7" s="67" customFormat="1" ht="31.5">
      <c r="A951" s="36" t="s">
        <v>151</v>
      </c>
      <c r="B951" s="260" t="s">
        <v>161</v>
      </c>
      <c r="C951" s="260" t="s">
        <v>161</v>
      </c>
      <c r="D951" s="168">
        <v>1100</v>
      </c>
      <c r="E951" s="168">
        <v>1000</v>
      </c>
      <c r="F951" s="168">
        <v>4.2672699999999999</v>
      </c>
      <c r="G951" s="168" t="s">
        <v>282</v>
      </c>
    </row>
    <row r="952" spans="1:7" s="67" customFormat="1" ht="47.25">
      <c r="A952" s="36" t="s">
        <v>164</v>
      </c>
      <c r="B952" s="260" t="s">
        <v>165</v>
      </c>
      <c r="C952" s="260" t="s">
        <v>161</v>
      </c>
      <c r="D952" s="168">
        <v>211.791</v>
      </c>
      <c r="E952" s="168">
        <v>211.791</v>
      </c>
      <c r="F952" s="168">
        <v>211.791</v>
      </c>
      <c r="G952" s="168" t="s">
        <v>283</v>
      </c>
    </row>
    <row r="953" spans="1:7" s="67" customFormat="1" ht="31.5">
      <c r="A953" s="261" t="s">
        <v>284</v>
      </c>
      <c r="B953" s="260" t="s">
        <v>285</v>
      </c>
      <c r="C953" s="260" t="s">
        <v>161</v>
      </c>
      <c r="D953" s="240">
        <v>31.050999999999998</v>
      </c>
      <c r="E953" s="240">
        <v>31.050999999999998</v>
      </c>
      <c r="F953" s="240">
        <v>31.050999999999998</v>
      </c>
      <c r="G953" s="168" t="s">
        <v>283</v>
      </c>
    </row>
    <row r="954" spans="1:7" s="67" customFormat="1" ht="31.5">
      <c r="A954" s="261" t="s">
        <v>286</v>
      </c>
      <c r="B954" s="260" t="s">
        <v>285</v>
      </c>
      <c r="C954" s="260" t="s">
        <v>161</v>
      </c>
      <c r="D954" s="240">
        <v>23.032</v>
      </c>
      <c r="E954" s="240">
        <v>23.032</v>
      </c>
      <c r="F954" s="240">
        <v>23.032</v>
      </c>
      <c r="G954" s="168" t="s">
        <v>283</v>
      </c>
    </row>
    <row r="955" spans="1:7" s="67" customFormat="1" ht="31.5">
      <c r="A955" s="261" t="s">
        <v>287</v>
      </c>
      <c r="B955" s="260" t="s">
        <v>285</v>
      </c>
      <c r="C955" s="260" t="s">
        <v>161</v>
      </c>
      <c r="D955" s="240">
        <v>58.003</v>
      </c>
      <c r="E955" s="240">
        <v>58.003</v>
      </c>
      <c r="F955" s="240">
        <v>58.003</v>
      </c>
      <c r="G955" s="168" t="s">
        <v>283</v>
      </c>
    </row>
    <row r="956" spans="1:7" s="67" customFormat="1" ht="31.5">
      <c r="A956" s="262" t="s">
        <v>1110</v>
      </c>
      <c r="B956" s="260" t="s">
        <v>1111</v>
      </c>
      <c r="C956" s="260" t="s">
        <v>1111</v>
      </c>
      <c r="D956" s="333">
        <v>210.83267000000001</v>
      </c>
      <c r="E956" s="333">
        <v>210.83267000000001</v>
      </c>
      <c r="F956" s="333">
        <v>210.83267000000001</v>
      </c>
      <c r="G956" s="54" t="s">
        <v>1112</v>
      </c>
    </row>
    <row r="957" spans="1:7" s="67" customFormat="1" ht="31.5">
      <c r="A957" s="261" t="s">
        <v>1113</v>
      </c>
      <c r="B957" s="260" t="s">
        <v>285</v>
      </c>
      <c r="C957" s="260" t="s">
        <v>1111</v>
      </c>
      <c r="D957" s="333">
        <v>24.450949999999999</v>
      </c>
      <c r="E957" s="333">
        <v>24.450949999999999</v>
      </c>
      <c r="F957" s="333">
        <v>24.450949999999999</v>
      </c>
      <c r="G957" s="54" t="s">
        <v>781</v>
      </c>
    </row>
    <row r="958" spans="1:7" s="67" customFormat="1" ht="31.5">
      <c r="A958" s="261" t="s">
        <v>1114</v>
      </c>
      <c r="B958" s="260" t="s">
        <v>285</v>
      </c>
      <c r="C958" s="260" t="s">
        <v>1111</v>
      </c>
      <c r="D958" s="333">
        <v>37.157260000000001</v>
      </c>
      <c r="E958" s="333">
        <v>37.157260000000001</v>
      </c>
      <c r="F958" s="333">
        <v>37.157260000000001</v>
      </c>
      <c r="G958" s="54" t="s">
        <v>781</v>
      </c>
    </row>
    <row r="959" spans="1:7" s="67" customFormat="1" ht="31.5">
      <c r="A959" s="261" t="s">
        <v>1115</v>
      </c>
      <c r="B959" s="260" t="s">
        <v>1116</v>
      </c>
      <c r="C959" s="260" t="s">
        <v>1111</v>
      </c>
      <c r="D959" s="333">
        <v>5.6783999999999999</v>
      </c>
      <c r="E959" s="333">
        <v>5.6783999999999999</v>
      </c>
      <c r="F959" s="333">
        <v>5.6783999999999999</v>
      </c>
      <c r="G959" s="54" t="s">
        <v>1106</v>
      </c>
    </row>
    <row r="960" spans="1:7" s="67" customFormat="1" ht="31.5">
      <c r="A960" s="261" t="s">
        <v>1117</v>
      </c>
      <c r="B960" s="260" t="s">
        <v>1118</v>
      </c>
      <c r="C960" s="260" t="s">
        <v>1111</v>
      </c>
      <c r="D960" s="333">
        <v>1.62</v>
      </c>
      <c r="E960" s="333">
        <v>1.62</v>
      </c>
      <c r="F960" s="333">
        <v>1.62</v>
      </c>
      <c r="G960" s="54" t="s">
        <v>781</v>
      </c>
    </row>
    <row r="961" spans="1:7" s="67" customFormat="1" ht="31.5">
      <c r="A961" s="261" t="s">
        <v>1119</v>
      </c>
      <c r="B961" s="260" t="s">
        <v>1116</v>
      </c>
      <c r="C961" s="260" t="s">
        <v>1111</v>
      </c>
      <c r="D961" s="333">
        <v>9.5077499999999997</v>
      </c>
      <c r="E961" s="333">
        <v>9.5077499999999997</v>
      </c>
      <c r="F961" s="333">
        <v>9.5077499999999997</v>
      </c>
      <c r="G961" s="54" t="s">
        <v>1106</v>
      </c>
    </row>
    <row r="962" spans="1:7" s="67" customFormat="1" ht="31.5">
      <c r="A962" s="261" t="s">
        <v>1120</v>
      </c>
      <c r="B962" s="260" t="s">
        <v>1118</v>
      </c>
      <c r="C962" s="260" t="s">
        <v>1111</v>
      </c>
      <c r="D962" s="333">
        <v>1.62</v>
      </c>
      <c r="E962" s="333">
        <v>1.62</v>
      </c>
      <c r="F962" s="333">
        <v>1.62</v>
      </c>
      <c r="G962" s="54" t="s">
        <v>781</v>
      </c>
    </row>
    <row r="963" spans="1:7" s="67" customFormat="1" ht="31.5">
      <c r="A963" s="261" t="s">
        <v>1121</v>
      </c>
      <c r="B963" s="260" t="s">
        <v>285</v>
      </c>
      <c r="C963" s="260" t="s">
        <v>1122</v>
      </c>
      <c r="D963" s="334">
        <v>39.970320000000001</v>
      </c>
      <c r="E963" s="334">
        <v>39.970320000000001</v>
      </c>
      <c r="F963" s="334">
        <v>39.970320000000001</v>
      </c>
      <c r="G963" s="54" t="s">
        <v>781</v>
      </c>
    </row>
    <row r="964" spans="1:7" s="67" customFormat="1" ht="31.5">
      <c r="A964" s="261" t="s">
        <v>1113</v>
      </c>
      <c r="B964" s="260" t="s">
        <v>1111</v>
      </c>
      <c r="C964" s="260" t="s">
        <v>1111</v>
      </c>
      <c r="D964" s="334">
        <v>342.33969000000002</v>
      </c>
      <c r="E964" s="334">
        <v>342.33969000000002</v>
      </c>
      <c r="F964" s="334">
        <v>323.86200000000002</v>
      </c>
      <c r="G964" s="54" t="s">
        <v>1123</v>
      </c>
    </row>
    <row r="965" spans="1:7" s="67" customFormat="1" ht="31.5">
      <c r="A965" s="261" t="s">
        <v>1124</v>
      </c>
      <c r="B965" s="260" t="s">
        <v>1111</v>
      </c>
      <c r="C965" s="260" t="s">
        <v>1111</v>
      </c>
      <c r="D965" s="334">
        <v>577.62594999999999</v>
      </c>
      <c r="E965" s="334">
        <v>577.62594999999999</v>
      </c>
      <c r="F965" s="334">
        <v>577.62594999999999</v>
      </c>
      <c r="G965" s="54" t="s">
        <v>826</v>
      </c>
    </row>
    <row r="966" spans="1:7" s="67" customFormat="1" ht="31.5">
      <c r="A966" s="261" t="s">
        <v>1125</v>
      </c>
      <c r="B966" s="260" t="s">
        <v>1116</v>
      </c>
      <c r="C966" s="260" t="s">
        <v>1122</v>
      </c>
      <c r="D966" s="334">
        <v>12.45684</v>
      </c>
      <c r="E966" s="334">
        <v>12.45684</v>
      </c>
      <c r="F966" s="334">
        <v>11.706</v>
      </c>
      <c r="G966" s="54" t="s">
        <v>961</v>
      </c>
    </row>
    <row r="967" spans="1:7" s="67" customFormat="1" ht="31.5">
      <c r="A967" s="261" t="s">
        <v>1126</v>
      </c>
      <c r="B967" s="260" t="s">
        <v>1118</v>
      </c>
      <c r="C967" s="260" t="s">
        <v>1122</v>
      </c>
      <c r="D967" s="334">
        <v>2.16</v>
      </c>
      <c r="E967" s="334">
        <v>2.16</v>
      </c>
      <c r="F967" s="334">
        <v>2.16</v>
      </c>
      <c r="G967" s="54" t="s">
        <v>781</v>
      </c>
    </row>
    <row r="968" spans="1:7" s="67" customFormat="1" ht="31.5">
      <c r="A968" s="261" t="s">
        <v>1127</v>
      </c>
      <c r="B968" s="260" t="s">
        <v>1118</v>
      </c>
      <c r="C968" s="260" t="s">
        <v>1128</v>
      </c>
      <c r="D968" s="334">
        <v>6.4210500000000001</v>
      </c>
      <c r="E968" s="334">
        <v>6.4210500000000001</v>
      </c>
      <c r="F968" s="334">
        <v>6.4210500000000001</v>
      </c>
      <c r="G968" s="54" t="s">
        <v>770</v>
      </c>
    </row>
    <row r="969" spans="1:7" s="67" customFormat="1" ht="31.5">
      <c r="A969" s="261" t="s">
        <v>1127</v>
      </c>
      <c r="B969" s="260" t="s">
        <v>1116</v>
      </c>
      <c r="C969" s="260" t="s">
        <v>1128</v>
      </c>
      <c r="D969" s="334">
        <v>24.338360000000002</v>
      </c>
      <c r="E969" s="334">
        <v>24.338360000000002</v>
      </c>
      <c r="F969" s="334">
        <v>24.338360000000002</v>
      </c>
      <c r="G969" s="55" t="s">
        <v>227</v>
      </c>
    </row>
    <row r="970" spans="1:7" s="67" customFormat="1" ht="47.25">
      <c r="A970" s="261" t="s">
        <v>1129</v>
      </c>
      <c r="B970" s="260" t="s">
        <v>1130</v>
      </c>
      <c r="C970" s="260" t="s">
        <v>1128</v>
      </c>
      <c r="D970" s="334">
        <v>3.2304900000000001</v>
      </c>
      <c r="E970" s="334">
        <v>3.2304900000000001</v>
      </c>
      <c r="F970" s="334">
        <v>3.2304900000000001</v>
      </c>
      <c r="G970" s="54" t="s">
        <v>1131</v>
      </c>
    </row>
    <row r="971" spans="1:7" s="67" customFormat="1" ht="47.25">
      <c r="A971" s="261" t="s">
        <v>1132</v>
      </c>
      <c r="B971" s="260" t="s">
        <v>1130</v>
      </c>
      <c r="C971" s="260" t="s">
        <v>1128</v>
      </c>
      <c r="D971" s="334">
        <v>4.7601100000000001</v>
      </c>
      <c r="E971" s="334">
        <v>4.7601100000000001</v>
      </c>
      <c r="F971" s="334">
        <v>4.7601100000000001</v>
      </c>
      <c r="G971" s="54" t="s">
        <v>1131</v>
      </c>
    </row>
    <row r="972" spans="1:7" s="67" customFormat="1" ht="47.25">
      <c r="A972" s="261" t="s">
        <v>1133</v>
      </c>
      <c r="B972" s="260" t="s">
        <v>1130</v>
      </c>
      <c r="C972" s="260" t="s">
        <v>1128</v>
      </c>
      <c r="D972" s="334">
        <v>6.1338699999999999</v>
      </c>
      <c r="E972" s="334">
        <v>6.1338699999999999</v>
      </c>
      <c r="F972" s="334">
        <v>6.1338699999999999</v>
      </c>
      <c r="G972" s="54" t="s">
        <v>1131</v>
      </c>
    </row>
    <row r="973" spans="1:7" s="67" customFormat="1" ht="31.5">
      <c r="A973" s="261" t="s">
        <v>1134</v>
      </c>
      <c r="B973" s="260" t="s">
        <v>1118</v>
      </c>
      <c r="C973" s="260" t="s">
        <v>1128</v>
      </c>
      <c r="D973" s="334">
        <v>3.24</v>
      </c>
      <c r="E973" s="334">
        <v>3.24</v>
      </c>
      <c r="F973" s="334">
        <v>3.24</v>
      </c>
      <c r="G973" s="54" t="s">
        <v>1135</v>
      </c>
    </row>
    <row r="974" spans="1:7" s="67" customFormat="1" ht="31.5">
      <c r="A974" s="261" t="s">
        <v>1129</v>
      </c>
      <c r="B974" s="260" t="s">
        <v>1116</v>
      </c>
      <c r="C974" s="260" t="s">
        <v>1128</v>
      </c>
      <c r="D974" s="334">
        <v>15.584210000000001</v>
      </c>
      <c r="E974" s="334">
        <v>15.584210000000001</v>
      </c>
      <c r="F974" s="334">
        <v>15.584210000000001</v>
      </c>
      <c r="G974" s="54" t="s">
        <v>1106</v>
      </c>
    </row>
    <row r="975" spans="1:7" s="67" customFormat="1" ht="31.5">
      <c r="A975" s="261" t="s">
        <v>1136</v>
      </c>
      <c r="B975" s="260" t="s">
        <v>285</v>
      </c>
      <c r="C975" s="260" t="s">
        <v>1128</v>
      </c>
      <c r="D975" s="334">
        <v>61.163420000000002</v>
      </c>
      <c r="E975" s="334">
        <v>61.163420000000002</v>
      </c>
      <c r="F975" s="334">
        <v>61.163420000000002</v>
      </c>
      <c r="G975" s="54" t="s">
        <v>781</v>
      </c>
    </row>
    <row r="976" spans="1:7" s="67" customFormat="1" ht="31.5">
      <c r="A976" s="261" t="s">
        <v>1137</v>
      </c>
      <c r="B976" s="260" t="s">
        <v>285</v>
      </c>
      <c r="C976" s="260" t="s">
        <v>1128</v>
      </c>
      <c r="D976" s="334">
        <v>86.722650000000002</v>
      </c>
      <c r="E976" s="334">
        <v>86.722650000000002</v>
      </c>
      <c r="F976" s="334">
        <v>86.722650000000002</v>
      </c>
      <c r="G976" s="54" t="s">
        <v>781</v>
      </c>
    </row>
    <row r="977" spans="1:7" s="67" customFormat="1" ht="31.5">
      <c r="A977" s="261" t="s">
        <v>1138</v>
      </c>
      <c r="B977" s="260" t="s">
        <v>1128</v>
      </c>
      <c r="C977" s="260" t="s">
        <v>1128</v>
      </c>
      <c r="D977" s="334">
        <v>972.53520000000003</v>
      </c>
      <c r="E977" s="334">
        <v>972.53520000000003</v>
      </c>
      <c r="F977" s="334">
        <v>972.53520000000003</v>
      </c>
      <c r="G977" s="54" t="s">
        <v>1108</v>
      </c>
    </row>
    <row r="978" spans="1:7" s="67" customFormat="1" ht="31.5">
      <c r="A978" s="261" t="s">
        <v>1126</v>
      </c>
      <c r="B978" s="260" t="s">
        <v>159</v>
      </c>
      <c r="C978" s="260" t="s">
        <v>1122</v>
      </c>
      <c r="D978" s="334">
        <v>762.24800000000005</v>
      </c>
      <c r="E978" s="334">
        <v>762.24800000000005</v>
      </c>
      <c r="F978" s="334">
        <v>762.24800000000005</v>
      </c>
      <c r="G978" s="54" t="s">
        <v>1108</v>
      </c>
    </row>
    <row r="979" spans="1:7" s="67" customFormat="1" ht="31.5">
      <c r="A979" s="261" t="s">
        <v>1139</v>
      </c>
      <c r="B979" s="260" t="s">
        <v>1109</v>
      </c>
      <c r="C979" s="260" t="s">
        <v>1122</v>
      </c>
      <c r="D979" s="334">
        <v>30</v>
      </c>
      <c r="E979" s="334">
        <v>30</v>
      </c>
      <c r="F979" s="334">
        <v>30</v>
      </c>
      <c r="G979" s="335" t="s">
        <v>1140</v>
      </c>
    </row>
    <row r="980" spans="1:7" s="67" customFormat="1" ht="31.5">
      <c r="A980" s="261" t="s">
        <v>1141</v>
      </c>
      <c r="B980" s="260" t="s">
        <v>1116</v>
      </c>
      <c r="C980" s="260" t="s">
        <v>1128</v>
      </c>
      <c r="D980" s="240">
        <v>23.324000000000002</v>
      </c>
      <c r="E980" s="240">
        <v>23.324000000000002</v>
      </c>
      <c r="F980" s="334">
        <v>21.274000000000001</v>
      </c>
      <c r="G980" s="55" t="s">
        <v>227</v>
      </c>
    </row>
    <row r="981" spans="1:7" s="67" customFormat="1" ht="31.5">
      <c r="A981" s="261" t="s">
        <v>1142</v>
      </c>
      <c r="B981" s="260" t="s">
        <v>1116</v>
      </c>
      <c r="C981" s="260" t="s">
        <v>1128</v>
      </c>
      <c r="D981" s="240">
        <v>32.203000000000003</v>
      </c>
      <c r="E981" s="240">
        <v>32.203000000000003</v>
      </c>
      <c r="F981" s="334">
        <v>26.027999999999999</v>
      </c>
      <c r="G981" s="55" t="s">
        <v>227</v>
      </c>
    </row>
    <row r="982" spans="1:7" s="67" customFormat="1" ht="31.5">
      <c r="A982" s="261" t="s">
        <v>1143</v>
      </c>
      <c r="B982" s="260" t="s">
        <v>1116</v>
      </c>
      <c r="C982" s="260" t="s">
        <v>1128</v>
      </c>
      <c r="D982" s="240">
        <v>42.225000000000001</v>
      </c>
      <c r="E982" s="240">
        <v>42.225000000000001</v>
      </c>
      <c r="F982" s="334">
        <v>39.079000000000001</v>
      </c>
      <c r="G982" s="55" t="s">
        <v>227</v>
      </c>
    </row>
    <row r="983" spans="1:7" s="67" customFormat="1" ht="31.5">
      <c r="A983" s="261" t="s">
        <v>1144</v>
      </c>
      <c r="B983" s="260" t="s">
        <v>1145</v>
      </c>
      <c r="C983" s="260" t="s">
        <v>1128</v>
      </c>
      <c r="D983" s="334">
        <v>20.478000000000002</v>
      </c>
      <c r="E983" s="334">
        <v>20.478000000000002</v>
      </c>
      <c r="F983" s="334">
        <v>20.478000000000002</v>
      </c>
      <c r="G983" s="54" t="s">
        <v>781</v>
      </c>
    </row>
    <row r="984" spans="1:7" s="67" customFormat="1" ht="31.5">
      <c r="A984" s="261" t="s">
        <v>1146</v>
      </c>
      <c r="B984" s="260" t="s">
        <v>1128</v>
      </c>
      <c r="C984" s="260" t="s">
        <v>1128</v>
      </c>
      <c r="D984" s="334">
        <v>808.89099999999996</v>
      </c>
      <c r="E984" s="334">
        <v>808.89099999999996</v>
      </c>
      <c r="F984" s="334">
        <v>808.89099999999996</v>
      </c>
      <c r="G984" s="54" t="s">
        <v>1108</v>
      </c>
    </row>
    <row r="985" spans="1:7" s="67" customFormat="1" ht="31.5">
      <c r="A985" s="261" t="s">
        <v>1147</v>
      </c>
      <c r="B985" s="260" t="s">
        <v>1118</v>
      </c>
      <c r="C985" s="260" t="s">
        <v>1128</v>
      </c>
      <c r="D985" s="334">
        <v>8.2080000000000002</v>
      </c>
      <c r="E985" s="334">
        <v>8.2080000000000002</v>
      </c>
      <c r="F985" s="334">
        <v>8.2080000000000002</v>
      </c>
      <c r="G985" s="336" t="s">
        <v>283</v>
      </c>
    </row>
    <row r="986" spans="1:7" s="67" customFormat="1" ht="31.5">
      <c r="A986" s="261" t="s">
        <v>1141</v>
      </c>
      <c r="B986" s="260" t="s">
        <v>1118</v>
      </c>
      <c r="C986" s="260" t="s">
        <v>1128</v>
      </c>
      <c r="D986" s="334">
        <v>8.2080000000000002</v>
      </c>
      <c r="E986" s="334">
        <v>8.2080000000000002</v>
      </c>
      <c r="F986" s="334">
        <v>8.2080000000000002</v>
      </c>
      <c r="G986" s="336" t="s">
        <v>283</v>
      </c>
    </row>
    <row r="987" spans="1:7" s="67" customFormat="1" ht="31.5">
      <c r="A987" s="261" t="s">
        <v>1148</v>
      </c>
      <c r="B987" s="260" t="s">
        <v>1118</v>
      </c>
      <c r="C987" s="260" t="s">
        <v>1128</v>
      </c>
      <c r="D987" s="334">
        <v>8.2080000000000002</v>
      </c>
      <c r="E987" s="334">
        <v>8.2080000000000002</v>
      </c>
      <c r="F987" s="334">
        <v>8.2080000000000002</v>
      </c>
      <c r="G987" s="336" t="s">
        <v>283</v>
      </c>
    </row>
    <row r="988" spans="1:7" s="67" customFormat="1" ht="31.5">
      <c r="A988" s="261" t="s">
        <v>1149</v>
      </c>
      <c r="B988" s="260" t="s">
        <v>1145</v>
      </c>
      <c r="C988" s="260" t="s">
        <v>1128</v>
      </c>
      <c r="D988" s="334">
        <v>12.581</v>
      </c>
      <c r="E988" s="334">
        <v>12.581</v>
      </c>
      <c r="F988" s="334">
        <v>12.581</v>
      </c>
      <c r="G988" s="54" t="s">
        <v>781</v>
      </c>
    </row>
    <row r="989" spans="1:7" s="67" customFormat="1" ht="31.5">
      <c r="A989" s="261" t="s">
        <v>1150</v>
      </c>
      <c r="B989" s="260" t="s">
        <v>1109</v>
      </c>
      <c r="C989" s="260" t="s">
        <v>1128</v>
      </c>
      <c r="D989" s="240">
        <v>73.296000000000006</v>
      </c>
      <c r="E989" s="240">
        <v>73.296000000000006</v>
      </c>
      <c r="F989" s="240">
        <v>73.296000000000006</v>
      </c>
      <c r="G989" s="336" t="s">
        <v>283</v>
      </c>
    </row>
    <row r="990" spans="1:7" s="67" customFormat="1" ht="31.5">
      <c r="A990" s="261" t="s">
        <v>1151</v>
      </c>
      <c r="B990" s="260" t="s">
        <v>1109</v>
      </c>
      <c r="C990" s="260" t="s">
        <v>1128</v>
      </c>
      <c r="D990" s="240">
        <v>71.194000000000003</v>
      </c>
      <c r="E990" s="240">
        <v>71.194000000000003</v>
      </c>
      <c r="F990" s="240">
        <v>71.194000000000003</v>
      </c>
      <c r="G990" s="336" t="s">
        <v>283</v>
      </c>
    </row>
    <row r="991" spans="1:7" s="67" customFormat="1" ht="47.25">
      <c r="A991" s="261" t="s">
        <v>1152</v>
      </c>
      <c r="B991" s="260" t="s">
        <v>1109</v>
      </c>
      <c r="C991" s="260" t="s">
        <v>1128</v>
      </c>
      <c r="D991" s="240">
        <v>56.917999999999999</v>
      </c>
      <c r="E991" s="240">
        <v>56.917999999999999</v>
      </c>
      <c r="F991" s="240">
        <v>56.917999999999999</v>
      </c>
      <c r="G991" s="336" t="s">
        <v>283</v>
      </c>
    </row>
    <row r="992" spans="1:7" s="67" customFormat="1" ht="31.5">
      <c r="A992" s="261" t="s">
        <v>1153</v>
      </c>
      <c r="B992" s="260" t="s">
        <v>1109</v>
      </c>
      <c r="C992" s="260" t="s">
        <v>1128</v>
      </c>
      <c r="D992" s="240">
        <v>72.084999999999994</v>
      </c>
      <c r="E992" s="240">
        <v>72.084999999999994</v>
      </c>
      <c r="F992" s="240">
        <v>72.084999999999994</v>
      </c>
      <c r="G992" s="336" t="s">
        <v>283</v>
      </c>
    </row>
    <row r="993" spans="1:7" s="67" customFormat="1" ht="47.25">
      <c r="A993" s="261" t="s">
        <v>1154</v>
      </c>
      <c r="B993" s="260" t="s">
        <v>1109</v>
      </c>
      <c r="C993" s="260" t="s">
        <v>1128</v>
      </c>
      <c r="D993" s="240">
        <v>73.353999999999999</v>
      </c>
      <c r="E993" s="240">
        <v>73.353999999999999</v>
      </c>
      <c r="F993" s="240">
        <v>73.353999999999999</v>
      </c>
      <c r="G993" s="336" t="s">
        <v>283</v>
      </c>
    </row>
    <row r="994" spans="1:7" s="67" customFormat="1" ht="31.5">
      <c r="A994" s="261" t="s">
        <v>1155</v>
      </c>
      <c r="B994" s="260" t="s">
        <v>1109</v>
      </c>
      <c r="C994" s="260" t="s">
        <v>1128</v>
      </c>
      <c r="D994" s="240">
        <v>76.394000000000005</v>
      </c>
      <c r="E994" s="240">
        <v>76.394000000000005</v>
      </c>
      <c r="F994" s="240">
        <v>76.394000000000005</v>
      </c>
      <c r="G994" s="336" t="s">
        <v>283</v>
      </c>
    </row>
    <row r="995" spans="1:7" s="67" customFormat="1" ht="31.5">
      <c r="A995" s="261" t="s">
        <v>1156</v>
      </c>
      <c r="B995" s="260" t="s">
        <v>1109</v>
      </c>
      <c r="C995" s="260" t="s">
        <v>1128</v>
      </c>
      <c r="D995" s="240">
        <v>42.018999999999998</v>
      </c>
      <c r="E995" s="240">
        <v>42.018999999999998</v>
      </c>
      <c r="F995" s="240">
        <v>42.018999999999998</v>
      </c>
      <c r="G995" s="336" t="s">
        <v>283</v>
      </c>
    </row>
    <row r="996" spans="1:7" s="67" customFormat="1" ht="31.5">
      <c r="A996" s="261" t="s">
        <v>1157</v>
      </c>
      <c r="B996" s="260" t="s">
        <v>1116</v>
      </c>
      <c r="C996" s="260" t="s">
        <v>1128</v>
      </c>
      <c r="D996" s="334">
        <v>10.526</v>
      </c>
      <c r="E996" s="334">
        <v>10.526</v>
      </c>
      <c r="F996" s="334">
        <v>10.526</v>
      </c>
      <c r="G996" s="54" t="s">
        <v>1158</v>
      </c>
    </row>
    <row r="997" spans="1:7" s="67" customFormat="1" ht="47.25">
      <c r="A997" s="261" t="s">
        <v>1159</v>
      </c>
      <c r="B997" s="260" t="s">
        <v>1118</v>
      </c>
      <c r="C997" s="260" t="s">
        <v>1128</v>
      </c>
      <c r="D997" s="240">
        <v>2.16</v>
      </c>
      <c r="E997" s="240">
        <v>2.16</v>
      </c>
      <c r="F997" s="240">
        <v>2.16</v>
      </c>
      <c r="G997" s="54" t="s">
        <v>781</v>
      </c>
    </row>
    <row r="998" spans="1:7" s="67" customFormat="1" ht="31.5">
      <c r="A998" s="261" t="s">
        <v>1160</v>
      </c>
      <c r="B998" s="260" t="s">
        <v>1109</v>
      </c>
      <c r="C998" s="260" t="s">
        <v>1128</v>
      </c>
      <c r="D998" s="240">
        <v>245.786</v>
      </c>
      <c r="E998" s="240">
        <v>245.786</v>
      </c>
      <c r="F998" s="240">
        <v>245.786</v>
      </c>
      <c r="G998" s="54" t="s">
        <v>781</v>
      </c>
    </row>
    <row r="999" spans="1:7" s="67" customFormat="1" ht="31.5">
      <c r="A999" s="261" t="s">
        <v>1161</v>
      </c>
      <c r="B999" s="260" t="s">
        <v>1118</v>
      </c>
      <c r="C999" s="260" t="s">
        <v>1128</v>
      </c>
      <c r="D999" s="240">
        <v>1.08</v>
      </c>
      <c r="E999" s="240">
        <v>1.08</v>
      </c>
      <c r="F999" s="240">
        <v>1.08</v>
      </c>
      <c r="G999" s="54" t="s">
        <v>781</v>
      </c>
    </row>
    <row r="1000" spans="1:7" s="67" customFormat="1" ht="31.5">
      <c r="A1000" s="261" t="s">
        <v>1162</v>
      </c>
      <c r="B1000" s="260" t="s">
        <v>1128</v>
      </c>
      <c r="C1000" s="260" t="s">
        <v>1128</v>
      </c>
      <c r="D1000" s="240">
        <v>340.73899999999998</v>
      </c>
      <c r="E1000" s="240">
        <v>340.73899999999998</v>
      </c>
      <c r="F1000" s="240">
        <v>340.73899999999998</v>
      </c>
      <c r="G1000" s="54" t="s">
        <v>1108</v>
      </c>
    </row>
    <row r="1001" spans="1:7" s="67" customFormat="1" ht="31.5">
      <c r="A1001" s="261" t="s">
        <v>1163</v>
      </c>
      <c r="B1001" s="260" t="s">
        <v>1116</v>
      </c>
      <c r="C1001" s="260" t="s">
        <v>1128</v>
      </c>
      <c r="D1001" s="240">
        <v>4.42</v>
      </c>
      <c r="E1001" s="240">
        <v>4.42</v>
      </c>
      <c r="F1001" s="240">
        <v>4.42</v>
      </c>
      <c r="G1001" s="54" t="s">
        <v>1158</v>
      </c>
    </row>
    <row r="1002" spans="1:7" s="67" customFormat="1" ht="47.25">
      <c r="A1002" s="263" t="s">
        <v>1164</v>
      </c>
      <c r="B1002" s="260" t="s">
        <v>1165</v>
      </c>
      <c r="C1002" s="260" t="s">
        <v>1135</v>
      </c>
      <c r="D1002" s="65">
        <v>4.4279999999999999</v>
      </c>
      <c r="E1002" s="65">
        <v>4.4279999999999999</v>
      </c>
      <c r="F1002" s="65">
        <v>4.4279999999999999</v>
      </c>
      <c r="G1002" s="54" t="s">
        <v>1166</v>
      </c>
    </row>
    <row r="1003" spans="1:7" s="67" customFormat="1" ht="31.5">
      <c r="A1003" s="261" t="s">
        <v>1167</v>
      </c>
      <c r="B1003" s="260" t="s">
        <v>1118</v>
      </c>
      <c r="C1003" s="260" t="s">
        <v>1168</v>
      </c>
      <c r="D1003" s="240">
        <v>3.7709999999999999</v>
      </c>
      <c r="E1003" s="240">
        <v>3.7709999999999999</v>
      </c>
      <c r="F1003" s="240">
        <v>3.7709999999999999</v>
      </c>
      <c r="G1003" s="48" t="s">
        <v>1169</v>
      </c>
    </row>
    <row r="1004" spans="1:7" s="67" customFormat="1" ht="31.5">
      <c r="A1004" s="261" t="s">
        <v>1167</v>
      </c>
      <c r="B1004" s="260" t="s">
        <v>1116</v>
      </c>
      <c r="C1004" s="260" t="s">
        <v>1168</v>
      </c>
      <c r="D1004" s="240">
        <v>5.2519999999999998</v>
      </c>
      <c r="E1004" s="240">
        <v>5.2519999999999998</v>
      </c>
      <c r="F1004" s="240">
        <v>5.2519999999999998</v>
      </c>
      <c r="G1004" s="48" t="s">
        <v>1105</v>
      </c>
    </row>
    <row r="1005" spans="1:7" s="67" customFormat="1" ht="31.5">
      <c r="A1005" s="262" t="s">
        <v>1170</v>
      </c>
      <c r="B1005" s="260" t="s">
        <v>1109</v>
      </c>
      <c r="C1005" s="260" t="s">
        <v>1171</v>
      </c>
      <c r="D1005" s="333">
        <v>28.530999999999999</v>
      </c>
      <c r="E1005" s="333">
        <v>28.530999999999999</v>
      </c>
      <c r="F1005" s="333">
        <v>28.530999999999999</v>
      </c>
      <c r="G1005" s="54" t="s">
        <v>1172</v>
      </c>
    </row>
    <row r="1006" spans="1:7" s="67" customFormat="1">
      <c r="A1006" s="337"/>
      <c r="B1006" s="74" t="s">
        <v>1</v>
      </c>
      <c r="C1006" s="279" t="s">
        <v>6</v>
      </c>
      <c r="D1006" s="168">
        <f>SUM(D936:D1005)</f>
        <v>13563.109190000006</v>
      </c>
      <c r="E1006" s="168">
        <f>SUM(E936:E1005)</f>
        <v>12784.948190000003</v>
      </c>
      <c r="F1006" s="168">
        <f>SUM(F936:F1005)</f>
        <v>10213.770929999999</v>
      </c>
      <c r="G1006" s="279" t="s">
        <v>6</v>
      </c>
    </row>
    <row r="1007" spans="1:7" s="67" customFormat="1">
      <c r="A1007" s="386" t="s">
        <v>25</v>
      </c>
      <c r="B1007" s="386"/>
      <c r="C1007" s="386"/>
      <c r="D1007" s="386"/>
      <c r="E1007" s="386"/>
      <c r="F1007" s="386"/>
      <c r="G1007" s="386"/>
    </row>
    <row r="1008" spans="1:7" s="67" customFormat="1">
      <c r="A1008" s="357" t="s">
        <v>760</v>
      </c>
      <c r="B1008" s="357" t="s">
        <v>760</v>
      </c>
      <c r="C1008" s="264" t="s">
        <v>66</v>
      </c>
      <c r="D1008" s="360">
        <f>E1008</f>
        <v>745.50900000000001</v>
      </c>
      <c r="E1008" s="360">
        <f>F1008+F1009+F1010+F1011+F1012</f>
        <v>745.50900000000001</v>
      </c>
      <c r="F1008" s="338">
        <v>75</v>
      </c>
      <c r="G1008" s="377" t="s">
        <v>761</v>
      </c>
    </row>
    <row r="1009" spans="1:7" s="67" customFormat="1">
      <c r="A1009" s="358"/>
      <c r="B1009" s="358"/>
      <c r="C1009" s="264" t="s">
        <v>762</v>
      </c>
      <c r="D1009" s="361"/>
      <c r="E1009" s="361"/>
      <c r="F1009" s="338">
        <v>5.702</v>
      </c>
      <c r="G1009" s="378"/>
    </row>
    <row r="1010" spans="1:7" s="67" customFormat="1">
      <c r="A1010" s="358"/>
      <c r="B1010" s="358"/>
      <c r="C1010" s="264" t="s">
        <v>275</v>
      </c>
      <c r="D1010" s="361"/>
      <c r="E1010" s="361"/>
      <c r="F1010" s="338">
        <v>2.1680000000000001</v>
      </c>
      <c r="G1010" s="379"/>
    </row>
    <row r="1011" spans="1:7" s="67" customFormat="1">
      <c r="A1011" s="358"/>
      <c r="B1011" s="358"/>
      <c r="C1011" s="264" t="s">
        <v>150</v>
      </c>
      <c r="D1011" s="361"/>
      <c r="E1011" s="361"/>
      <c r="F1011" s="338">
        <v>10.637</v>
      </c>
      <c r="G1011" s="265" t="s">
        <v>227</v>
      </c>
    </row>
    <row r="1012" spans="1:7" s="67" customFormat="1" ht="31.5">
      <c r="A1012" s="359"/>
      <c r="B1012" s="359"/>
      <c r="C1012" s="264" t="s">
        <v>167</v>
      </c>
      <c r="D1012" s="362"/>
      <c r="E1012" s="362"/>
      <c r="F1012" s="338">
        <f>332.855+319.147</f>
        <v>652.00199999999995</v>
      </c>
      <c r="G1012" s="265" t="s">
        <v>763</v>
      </c>
    </row>
    <row r="1013" spans="1:7" s="67" customFormat="1">
      <c r="A1013" s="357" t="s">
        <v>764</v>
      </c>
      <c r="B1013" s="357" t="s">
        <v>764</v>
      </c>
      <c r="C1013" s="264" t="s">
        <v>66</v>
      </c>
      <c r="D1013" s="360">
        <f>E1013</f>
        <v>701.35200000000009</v>
      </c>
      <c r="E1013" s="360">
        <f>F1013+F1014+F1015+F1016+F1017</f>
        <v>701.35200000000009</v>
      </c>
      <c r="F1013" s="338">
        <v>75</v>
      </c>
      <c r="G1013" s="377" t="s">
        <v>765</v>
      </c>
    </row>
    <row r="1014" spans="1:7" s="67" customFormat="1">
      <c r="A1014" s="358"/>
      <c r="B1014" s="358"/>
      <c r="C1014" s="264" t="s">
        <v>762</v>
      </c>
      <c r="D1014" s="361"/>
      <c r="E1014" s="361"/>
      <c r="F1014" s="338">
        <v>5.702</v>
      </c>
      <c r="G1014" s="378"/>
    </row>
    <row r="1015" spans="1:7" s="67" customFormat="1">
      <c r="A1015" s="358"/>
      <c r="B1015" s="358"/>
      <c r="C1015" s="264" t="s">
        <v>275</v>
      </c>
      <c r="D1015" s="361"/>
      <c r="E1015" s="361"/>
      <c r="F1015" s="338">
        <v>2.484</v>
      </c>
      <c r="G1015" s="379"/>
    </row>
    <row r="1016" spans="1:7" s="67" customFormat="1">
      <c r="A1016" s="358"/>
      <c r="B1016" s="358"/>
      <c r="C1016" s="264" t="s">
        <v>150</v>
      </c>
      <c r="D1016" s="361"/>
      <c r="E1016" s="361"/>
      <c r="F1016" s="338">
        <v>11.278</v>
      </c>
      <c r="G1016" s="265" t="s">
        <v>766</v>
      </c>
    </row>
    <row r="1017" spans="1:7" s="67" customFormat="1" ht="31.5">
      <c r="A1017" s="358"/>
      <c r="B1017" s="358"/>
      <c r="C1017" s="264" t="s">
        <v>167</v>
      </c>
      <c r="D1017" s="361"/>
      <c r="E1017" s="361"/>
      <c r="F1017" s="338">
        <f>226.424+380.464</f>
        <v>606.88800000000003</v>
      </c>
      <c r="G1017" s="265" t="s">
        <v>763</v>
      </c>
    </row>
    <row r="1018" spans="1:7" s="67" customFormat="1" ht="78.75">
      <c r="A1018" s="266" t="s">
        <v>767</v>
      </c>
      <c r="B1018" s="266" t="s">
        <v>768</v>
      </c>
      <c r="C1018" s="264" t="s">
        <v>769</v>
      </c>
      <c r="D1018" s="338">
        <f>E1018</f>
        <v>87.58</v>
      </c>
      <c r="E1018" s="338">
        <f>F1018</f>
        <v>87.58</v>
      </c>
      <c r="F1018" s="338">
        <f>81.735+5.845</f>
        <v>87.58</v>
      </c>
      <c r="G1018" s="267" t="s">
        <v>770</v>
      </c>
    </row>
    <row r="1019" spans="1:7" s="67" customFormat="1">
      <c r="A1019" s="357" t="s">
        <v>273</v>
      </c>
      <c r="B1019" s="357" t="s">
        <v>273</v>
      </c>
      <c r="C1019" s="264" t="s">
        <v>66</v>
      </c>
      <c r="D1019" s="360">
        <v>1040.9449999999999</v>
      </c>
      <c r="E1019" s="360">
        <f>F1019+F1020+F1021+F1022+F1023</f>
        <v>1040.9449999999999</v>
      </c>
      <c r="F1019" s="338">
        <v>50.984000000000002</v>
      </c>
      <c r="G1019" s="369" t="s">
        <v>274</v>
      </c>
    </row>
    <row r="1020" spans="1:7" s="67" customFormat="1">
      <c r="A1020" s="358"/>
      <c r="B1020" s="358"/>
      <c r="C1020" s="264" t="s">
        <v>771</v>
      </c>
      <c r="D1020" s="361"/>
      <c r="E1020" s="361"/>
      <c r="F1020" s="338">
        <v>4.4870000000000001</v>
      </c>
      <c r="G1020" s="371"/>
    </row>
    <row r="1021" spans="1:7" s="67" customFormat="1">
      <c r="A1021" s="358"/>
      <c r="B1021" s="358"/>
      <c r="C1021" s="264" t="s">
        <v>150</v>
      </c>
      <c r="D1021" s="361"/>
      <c r="E1021" s="361"/>
      <c r="F1021" s="338">
        <v>15.933</v>
      </c>
      <c r="G1021" s="267" t="s">
        <v>772</v>
      </c>
    </row>
    <row r="1022" spans="1:7" s="67" customFormat="1" ht="31.5">
      <c r="A1022" s="358"/>
      <c r="B1022" s="358"/>
      <c r="C1022" s="264" t="s">
        <v>275</v>
      </c>
      <c r="D1022" s="361"/>
      <c r="E1022" s="361"/>
      <c r="F1022" s="338">
        <v>3.24</v>
      </c>
      <c r="G1022" s="267" t="s">
        <v>274</v>
      </c>
    </row>
    <row r="1023" spans="1:7" s="67" customFormat="1" ht="31.5">
      <c r="A1023" s="359"/>
      <c r="B1023" s="359"/>
      <c r="C1023" s="264" t="s">
        <v>167</v>
      </c>
      <c r="D1023" s="362"/>
      <c r="E1023" s="362"/>
      <c r="F1023" s="338">
        <f>489.129+477.172</f>
        <v>966.30100000000004</v>
      </c>
      <c r="G1023" s="267" t="s">
        <v>276</v>
      </c>
    </row>
    <row r="1024" spans="1:7" s="67" customFormat="1">
      <c r="A1024" s="357" t="s">
        <v>277</v>
      </c>
      <c r="B1024" s="357" t="s">
        <v>277</v>
      </c>
      <c r="C1024" s="264" t="s">
        <v>66</v>
      </c>
      <c r="D1024" s="360">
        <f>E1024</f>
        <v>1333.35</v>
      </c>
      <c r="E1024" s="360">
        <f>F1024+F1025+F1026+F1027+F1028</f>
        <v>1333.35</v>
      </c>
      <c r="F1024" s="338">
        <v>67.542000000000002</v>
      </c>
      <c r="G1024" s="369" t="s">
        <v>274</v>
      </c>
    </row>
    <row r="1025" spans="1:7" s="67" customFormat="1">
      <c r="A1025" s="358"/>
      <c r="B1025" s="358"/>
      <c r="C1025" s="264" t="s">
        <v>771</v>
      </c>
      <c r="D1025" s="361"/>
      <c r="E1025" s="361"/>
      <c r="F1025" s="338">
        <v>5.8109999999999999</v>
      </c>
      <c r="G1025" s="370"/>
    </row>
    <row r="1026" spans="1:7" s="67" customFormat="1">
      <c r="A1026" s="358"/>
      <c r="B1026" s="358"/>
      <c r="C1026" s="264" t="s">
        <v>275</v>
      </c>
      <c r="D1026" s="361"/>
      <c r="E1026" s="361"/>
      <c r="F1026" s="338">
        <v>5.4</v>
      </c>
      <c r="G1026" s="371"/>
    </row>
    <row r="1027" spans="1:7" s="67" customFormat="1">
      <c r="A1027" s="358"/>
      <c r="B1027" s="358"/>
      <c r="C1027" s="264" t="s">
        <v>150</v>
      </c>
      <c r="D1027" s="361"/>
      <c r="E1027" s="361"/>
      <c r="F1027" s="338">
        <v>21.106999999999999</v>
      </c>
      <c r="G1027" s="267" t="s">
        <v>772</v>
      </c>
    </row>
    <row r="1028" spans="1:7" s="67" customFormat="1" ht="31.5">
      <c r="A1028" s="359"/>
      <c r="B1028" s="359"/>
      <c r="C1028" s="264" t="s">
        <v>167</v>
      </c>
      <c r="D1028" s="362"/>
      <c r="E1028" s="362"/>
      <c r="F1028" s="338">
        <v>1233.49</v>
      </c>
      <c r="G1028" s="267" t="s">
        <v>773</v>
      </c>
    </row>
    <row r="1029" spans="1:7" s="67" customFormat="1">
      <c r="A1029" s="357" t="s">
        <v>278</v>
      </c>
      <c r="B1029" s="357" t="s">
        <v>278</v>
      </c>
      <c r="C1029" s="264" t="s">
        <v>66</v>
      </c>
      <c r="D1029" s="360">
        <f>E1029</f>
        <v>938.70100000000014</v>
      </c>
      <c r="E1029" s="360">
        <f>F1029+F1030+F1031+F1032+F1033</f>
        <v>938.70100000000014</v>
      </c>
      <c r="F1029" s="338">
        <v>64.391000000000005</v>
      </c>
      <c r="G1029" s="369" t="s">
        <v>274</v>
      </c>
    </row>
    <row r="1030" spans="1:7" s="67" customFormat="1">
      <c r="A1030" s="358"/>
      <c r="B1030" s="358"/>
      <c r="C1030" s="264" t="s">
        <v>771</v>
      </c>
      <c r="D1030" s="361"/>
      <c r="E1030" s="361"/>
      <c r="F1030" s="338">
        <v>5.702</v>
      </c>
      <c r="G1030" s="370"/>
    </row>
    <row r="1031" spans="1:7" s="67" customFormat="1">
      <c r="A1031" s="358"/>
      <c r="B1031" s="358"/>
      <c r="C1031" s="264" t="s">
        <v>275</v>
      </c>
      <c r="D1031" s="361"/>
      <c r="E1031" s="361"/>
      <c r="F1031" s="338">
        <v>3.1160000000000001</v>
      </c>
      <c r="G1031" s="371"/>
    </row>
    <row r="1032" spans="1:7" s="67" customFormat="1">
      <c r="A1032" s="358"/>
      <c r="B1032" s="358"/>
      <c r="C1032" s="264" t="s">
        <v>150</v>
      </c>
      <c r="D1032" s="361"/>
      <c r="E1032" s="361"/>
      <c r="F1032" s="338">
        <v>14.861000000000001</v>
      </c>
      <c r="G1032" s="267" t="s">
        <v>772</v>
      </c>
    </row>
    <row r="1033" spans="1:7" s="67" customFormat="1" ht="31.5">
      <c r="A1033" s="359"/>
      <c r="B1033" s="359"/>
      <c r="C1033" s="264" t="s">
        <v>167</v>
      </c>
      <c r="D1033" s="362"/>
      <c r="E1033" s="362"/>
      <c r="F1033" s="338">
        <f>455.432+395.199</f>
        <v>850.63100000000009</v>
      </c>
      <c r="G1033" s="267" t="s">
        <v>276</v>
      </c>
    </row>
    <row r="1034" spans="1:7" s="67" customFormat="1">
      <c r="A1034" s="357" t="s">
        <v>168</v>
      </c>
      <c r="B1034" s="357" t="s">
        <v>168</v>
      </c>
      <c r="C1034" s="264" t="s">
        <v>66</v>
      </c>
      <c r="D1034" s="360">
        <f>E1034</f>
        <v>1061.9739999999999</v>
      </c>
      <c r="E1034" s="360">
        <f>F1034+F1035+F1036+F1037+F1038</f>
        <v>1061.9739999999999</v>
      </c>
      <c r="F1034" s="338">
        <v>75</v>
      </c>
      <c r="G1034" s="377" t="s">
        <v>761</v>
      </c>
    </row>
    <row r="1035" spans="1:7" s="67" customFormat="1">
      <c r="A1035" s="358"/>
      <c r="B1035" s="358"/>
      <c r="C1035" s="264" t="s">
        <v>771</v>
      </c>
      <c r="D1035" s="361"/>
      <c r="E1035" s="361"/>
      <c r="F1035" s="338">
        <v>5.702</v>
      </c>
      <c r="G1035" s="378"/>
    </row>
    <row r="1036" spans="1:7" s="67" customFormat="1">
      <c r="A1036" s="358"/>
      <c r="B1036" s="358"/>
      <c r="C1036" s="264" t="s">
        <v>275</v>
      </c>
      <c r="D1036" s="361"/>
      <c r="E1036" s="361"/>
      <c r="F1036" s="338">
        <v>3.5470000000000002</v>
      </c>
      <c r="G1036" s="379"/>
    </row>
    <row r="1037" spans="1:7" s="67" customFormat="1">
      <c r="A1037" s="358"/>
      <c r="B1037" s="358"/>
      <c r="C1037" s="264" t="s">
        <v>150</v>
      </c>
      <c r="D1037" s="361"/>
      <c r="E1037" s="361"/>
      <c r="F1037" s="338">
        <v>17.841000000000001</v>
      </c>
      <c r="G1037" s="267" t="s">
        <v>774</v>
      </c>
    </row>
    <row r="1038" spans="1:7" s="67" customFormat="1" ht="31.5">
      <c r="A1038" s="359"/>
      <c r="B1038" s="359"/>
      <c r="C1038" s="264" t="s">
        <v>775</v>
      </c>
      <c r="D1038" s="362"/>
      <c r="E1038" s="362"/>
      <c r="F1038" s="338">
        <f>492.053+467.831</f>
        <v>959.88400000000001</v>
      </c>
      <c r="G1038" s="267" t="s">
        <v>773</v>
      </c>
    </row>
    <row r="1039" spans="1:7" s="67" customFormat="1" ht="63">
      <c r="A1039" s="268" t="s">
        <v>169</v>
      </c>
      <c r="B1039" s="268" t="s">
        <v>169</v>
      </c>
      <c r="C1039" s="264" t="s">
        <v>170</v>
      </c>
      <c r="D1039" s="338">
        <v>8.1050000000000004</v>
      </c>
      <c r="E1039" s="338">
        <v>8.1050000000000004</v>
      </c>
      <c r="F1039" s="338">
        <v>8.1050000000000004</v>
      </c>
      <c r="G1039" s="267" t="s">
        <v>171</v>
      </c>
    </row>
    <row r="1040" spans="1:7" s="67" customFormat="1">
      <c r="A1040" s="357" t="s">
        <v>776</v>
      </c>
      <c r="B1040" s="357" t="s">
        <v>776</v>
      </c>
      <c r="C1040" s="264" t="s">
        <v>66</v>
      </c>
      <c r="D1040" s="360">
        <f>E1040</f>
        <v>98.021000000000001</v>
      </c>
      <c r="E1040" s="360">
        <f>F1040+F1041+F1042+F1043+F1044</f>
        <v>98.021000000000001</v>
      </c>
      <c r="F1040" s="338">
        <v>91.412000000000006</v>
      </c>
      <c r="G1040" s="369" t="s">
        <v>770</v>
      </c>
    </row>
    <row r="1041" spans="1:7" s="67" customFormat="1">
      <c r="A1041" s="358"/>
      <c r="B1041" s="358"/>
      <c r="C1041" s="264" t="s">
        <v>771</v>
      </c>
      <c r="D1041" s="361"/>
      <c r="E1041" s="361"/>
      <c r="F1041" s="338">
        <v>6.609</v>
      </c>
      <c r="G1041" s="371"/>
    </row>
    <row r="1042" spans="1:7" s="67" customFormat="1">
      <c r="A1042" s="358"/>
      <c r="B1042" s="358"/>
      <c r="C1042" s="264" t="s">
        <v>275</v>
      </c>
      <c r="D1042" s="361"/>
      <c r="E1042" s="361"/>
      <c r="F1042" s="338"/>
      <c r="G1042" s="267"/>
    </row>
    <row r="1043" spans="1:7" s="67" customFormat="1">
      <c r="A1043" s="358"/>
      <c r="B1043" s="358"/>
      <c r="C1043" s="264" t="s">
        <v>150</v>
      </c>
      <c r="D1043" s="361"/>
      <c r="E1043" s="361"/>
      <c r="F1043" s="338"/>
      <c r="G1043" s="267"/>
    </row>
    <row r="1044" spans="1:7" s="67" customFormat="1">
      <c r="A1044" s="359"/>
      <c r="B1044" s="359"/>
      <c r="C1044" s="269" t="s">
        <v>167</v>
      </c>
      <c r="D1044" s="361"/>
      <c r="E1044" s="361"/>
      <c r="F1044" s="339"/>
      <c r="G1044" s="270"/>
    </row>
    <row r="1045" spans="1:7" s="67" customFormat="1">
      <c r="A1045" s="366" t="s">
        <v>777</v>
      </c>
      <c r="B1045" s="366" t="s">
        <v>777</v>
      </c>
      <c r="C1045" s="264" t="s">
        <v>66</v>
      </c>
      <c r="D1045" s="360">
        <f t="shared" ref="D1045" si="8">E1045</f>
        <v>1417.4079999999999</v>
      </c>
      <c r="E1045" s="375">
        <f>F1045+F1046+F1047+F1048+F1049</f>
        <v>1417.4079999999999</v>
      </c>
      <c r="F1045" s="338">
        <v>82.275999999999996</v>
      </c>
      <c r="G1045" s="369" t="s">
        <v>770</v>
      </c>
    </row>
    <row r="1046" spans="1:7" s="67" customFormat="1">
      <c r="A1046" s="367"/>
      <c r="B1046" s="367"/>
      <c r="C1046" s="264" t="s">
        <v>771</v>
      </c>
      <c r="D1046" s="361"/>
      <c r="E1046" s="375"/>
      <c r="F1046" s="338">
        <v>5.867</v>
      </c>
      <c r="G1046" s="370"/>
    </row>
    <row r="1047" spans="1:7" s="67" customFormat="1">
      <c r="A1047" s="367"/>
      <c r="B1047" s="367"/>
      <c r="C1047" s="264" t="s">
        <v>275</v>
      </c>
      <c r="D1047" s="361"/>
      <c r="E1047" s="375"/>
      <c r="F1047" s="338">
        <v>10.8</v>
      </c>
      <c r="G1047" s="371"/>
    </row>
    <row r="1048" spans="1:7" s="67" customFormat="1">
      <c r="A1048" s="367"/>
      <c r="B1048" s="367"/>
      <c r="C1048" s="264" t="s">
        <v>150</v>
      </c>
      <c r="D1048" s="361"/>
      <c r="E1048" s="375"/>
      <c r="F1048" s="338">
        <v>21.425999999999998</v>
      </c>
      <c r="G1048" s="267" t="s">
        <v>774</v>
      </c>
    </row>
    <row r="1049" spans="1:7" s="67" customFormat="1" ht="31.5">
      <c r="A1049" s="368"/>
      <c r="B1049" s="368"/>
      <c r="C1049" s="269" t="s">
        <v>167</v>
      </c>
      <c r="D1049" s="361"/>
      <c r="E1049" s="375"/>
      <c r="F1049" s="338">
        <v>1297.039</v>
      </c>
      <c r="G1049" s="267" t="s">
        <v>773</v>
      </c>
    </row>
    <row r="1050" spans="1:7" s="67" customFormat="1">
      <c r="A1050" s="366" t="s">
        <v>778</v>
      </c>
      <c r="B1050" s="366" t="s">
        <v>778</v>
      </c>
      <c r="C1050" s="264" t="s">
        <v>66</v>
      </c>
      <c r="D1050" s="360">
        <f t="shared" ref="D1050" si="9">E1050</f>
        <v>430.02199999999999</v>
      </c>
      <c r="E1050" s="375">
        <f>F1050+F1051+F1052+F1053+F1054</f>
        <v>430.02199999999999</v>
      </c>
      <c r="F1050" s="338">
        <v>30.183</v>
      </c>
      <c r="G1050" s="369" t="s">
        <v>770</v>
      </c>
    </row>
    <row r="1051" spans="1:7" s="67" customFormat="1">
      <c r="A1051" s="367"/>
      <c r="B1051" s="367"/>
      <c r="C1051" s="264" t="s">
        <v>771</v>
      </c>
      <c r="D1051" s="361"/>
      <c r="E1051" s="375"/>
      <c r="F1051" s="338">
        <v>5.702</v>
      </c>
      <c r="G1051" s="370"/>
    </row>
    <row r="1052" spans="1:7" s="67" customFormat="1">
      <c r="A1052" s="367"/>
      <c r="B1052" s="367"/>
      <c r="C1052" s="264" t="s">
        <v>275</v>
      </c>
      <c r="D1052" s="361"/>
      <c r="E1052" s="375"/>
      <c r="F1052" s="338">
        <v>10.8</v>
      </c>
      <c r="G1052" s="371"/>
    </row>
    <row r="1053" spans="1:7" s="67" customFormat="1">
      <c r="A1053" s="367"/>
      <c r="B1053" s="367"/>
      <c r="C1053" s="264" t="s">
        <v>150</v>
      </c>
      <c r="D1053" s="361"/>
      <c r="E1053" s="375"/>
      <c r="F1053" s="338">
        <v>6.6580000000000004</v>
      </c>
      <c r="G1053" s="267" t="s">
        <v>774</v>
      </c>
    </row>
    <row r="1054" spans="1:7" s="67" customFormat="1" ht="47.25">
      <c r="A1054" s="368"/>
      <c r="B1054" s="368"/>
      <c r="C1054" s="269" t="s">
        <v>167</v>
      </c>
      <c r="D1054" s="361"/>
      <c r="E1054" s="375"/>
      <c r="F1054" s="338">
        <v>376.67899999999997</v>
      </c>
      <c r="G1054" s="267" t="s">
        <v>779</v>
      </c>
    </row>
    <row r="1055" spans="1:7" s="67" customFormat="1">
      <c r="A1055" s="366" t="s">
        <v>780</v>
      </c>
      <c r="B1055" s="366" t="s">
        <v>780</v>
      </c>
      <c r="C1055" s="264" t="s">
        <v>66</v>
      </c>
      <c r="D1055" s="360">
        <f t="shared" ref="D1055" si="10">E1055</f>
        <v>462.44499999999999</v>
      </c>
      <c r="E1055" s="375">
        <f>F1055+F1056+F1057+F1058+F1059</f>
        <v>462.44499999999999</v>
      </c>
      <c r="F1055" s="338">
        <v>28.420999999999999</v>
      </c>
      <c r="G1055" s="369" t="s">
        <v>781</v>
      </c>
    </row>
    <row r="1056" spans="1:7" s="67" customFormat="1">
      <c r="A1056" s="367"/>
      <c r="B1056" s="367"/>
      <c r="C1056" s="264" t="s">
        <v>771</v>
      </c>
      <c r="D1056" s="361"/>
      <c r="E1056" s="375"/>
      <c r="F1056" s="338">
        <v>7.7809999999999997</v>
      </c>
      <c r="G1056" s="370"/>
    </row>
    <row r="1057" spans="1:7" s="67" customFormat="1">
      <c r="A1057" s="367"/>
      <c r="B1057" s="367"/>
      <c r="C1057" s="264" t="s">
        <v>275</v>
      </c>
      <c r="D1057" s="361"/>
      <c r="E1057" s="375"/>
      <c r="F1057" s="338">
        <v>4.2629999999999999</v>
      </c>
      <c r="G1057" s="371"/>
    </row>
    <row r="1058" spans="1:7" s="67" customFormat="1">
      <c r="A1058" s="367"/>
      <c r="B1058" s="367"/>
      <c r="C1058" s="264" t="s">
        <v>150</v>
      </c>
      <c r="D1058" s="361"/>
      <c r="E1058" s="375"/>
      <c r="F1058" s="338">
        <v>7.0789999999999997</v>
      </c>
      <c r="G1058" s="267" t="s">
        <v>774</v>
      </c>
    </row>
    <row r="1059" spans="1:7" s="67" customFormat="1" ht="31.5">
      <c r="A1059" s="368"/>
      <c r="B1059" s="368"/>
      <c r="C1059" s="269" t="s">
        <v>167</v>
      </c>
      <c r="D1059" s="361"/>
      <c r="E1059" s="375"/>
      <c r="F1059" s="338">
        <v>414.90100000000001</v>
      </c>
      <c r="G1059" s="267" t="s">
        <v>773</v>
      </c>
    </row>
    <row r="1060" spans="1:7" s="67" customFormat="1">
      <c r="A1060" s="366" t="s">
        <v>782</v>
      </c>
      <c r="B1060" s="366" t="s">
        <v>782</v>
      </c>
      <c r="C1060" s="264" t="s">
        <v>66</v>
      </c>
      <c r="D1060" s="360">
        <f t="shared" ref="D1060" si="11">E1060</f>
        <v>75.058000000000007</v>
      </c>
      <c r="E1060" s="375">
        <f>F1060+F1061+F1062+F1063+F1064</f>
        <v>75.058000000000007</v>
      </c>
      <c r="F1060" s="338">
        <v>69.191000000000003</v>
      </c>
      <c r="G1060" s="376" t="s">
        <v>770</v>
      </c>
    </row>
    <row r="1061" spans="1:7" s="67" customFormat="1">
      <c r="A1061" s="367"/>
      <c r="B1061" s="367"/>
      <c r="C1061" s="264" t="s">
        <v>771</v>
      </c>
      <c r="D1061" s="361"/>
      <c r="E1061" s="375"/>
      <c r="F1061" s="338">
        <v>5.867</v>
      </c>
      <c r="G1061" s="376"/>
    </row>
    <row r="1062" spans="1:7" s="67" customFormat="1">
      <c r="A1062" s="367"/>
      <c r="B1062" s="367"/>
      <c r="C1062" s="264" t="s">
        <v>275</v>
      </c>
      <c r="D1062" s="361"/>
      <c r="E1062" s="375"/>
      <c r="F1062" s="338"/>
      <c r="G1062" s="267"/>
    </row>
    <row r="1063" spans="1:7" s="67" customFormat="1">
      <c r="A1063" s="367"/>
      <c r="B1063" s="367"/>
      <c r="C1063" s="264" t="s">
        <v>150</v>
      </c>
      <c r="D1063" s="361"/>
      <c r="E1063" s="375"/>
      <c r="F1063" s="338"/>
      <c r="G1063" s="267"/>
    </row>
    <row r="1064" spans="1:7" s="67" customFormat="1">
      <c r="A1064" s="368"/>
      <c r="B1064" s="368"/>
      <c r="C1064" s="269" t="s">
        <v>167</v>
      </c>
      <c r="D1064" s="361"/>
      <c r="E1064" s="375"/>
      <c r="F1064" s="338"/>
      <c r="G1064" s="267"/>
    </row>
    <row r="1065" spans="1:7" s="67" customFormat="1">
      <c r="A1065" s="366" t="s">
        <v>783</v>
      </c>
      <c r="B1065" s="366" t="s">
        <v>783</v>
      </c>
      <c r="C1065" s="264" t="s">
        <v>66</v>
      </c>
      <c r="D1065" s="360">
        <f t="shared" ref="D1065" si="12">E1065</f>
        <v>67.343000000000004</v>
      </c>
      <c r="E1065" s="375">
        <f>F1065+F1066+F1067+F1068+F1069</f>
        <v>67.343000000000004</v>
      </c>
      <c r="F1065" s="338">
        <v>61.640999999999998</v>
      </c>
      <c r="G1065" s="376" t="s">
        <v>770</v>
      </c>
    </row>
    <row r="1066" spans="1:7" s="67" customFormat="1">
      <c r="A1066" s="367"/>
      <c r="B1066" s="367"/>
      <c r="C1066" s="264" t="s">
        <v>771</v>
      </c>
      <c r="D1066" s="361"/>
      <c r="E1066" s="375"/>
      <c r="F1066" s="338">
        <v>5.702</v>
      </c>
      <c r="G1066" s="376"/>
    </row>
    <row r="1067" spans="1:7" s="67" customFormat="1">
      <c r="A1067" s="367"/>
      <c r="B1067" s="367"/>
      <c r="C1067" s="264" t="s">
        <v>275</v>
      </c>
      <c r="D1067" s="361"/>
      <c r="E1067" s="375"/>
      <c r="F1067" s="338"/>
      <c r="G1067" s="267"/>
    </row>
    <row r="1068" spans="1:7" s="67" customFormat="1">
      <c r="A1068" s="367"/>
      <c r="B1068" s="367"/>
      <c r="C1068" s="264" t="s">
        <v>150</v>
      </c>
      <c r="D1068" s="361"/>
      <c r="E1068" s="375"/>
      <c r="F1068" s="338"/>
      <c r="G1068" s="267"/>
    </row>
    <row r="1069" spans="1:7" s="67" customFormat="1">
      <c r="A1069" s="368"/>
      <c r="B1069" s="368"/>
      <c r="C1069" s="269" t="s">
        <v>167</v>
      </c>
      <c r="D1069" s="361"/>
      <c r="E1069" s="375"/>
      <c r="F1069" s="338"/>
      <c r="G1069" s="267"/>
    </row>
    <row r="1070" spans="1:7" s="67" customFormat="1">
      <c r="A1070" s="366" t="s">
        <v>784</v>
      </c>
      <c r="B1070" s="366" t="s">
        <v>784</v>
      </c>
      <c r="C1070" s="264" t="s">
        <v>66</v>
      </c>
      <c r="D1070" s="360">
        <f t="shared" ref="D1070" si="13">E1070</f>
        <v>48.24</v>
      </c>
      <c r="E1070" s="375">
        <f>F1070+F1071+F1072+F1073+F1074</f>
        <v>48.24</v>
      </c>
      <c r="F1070" s="338">
        <v>40.459000000000003</v>
      </c>
      <c r="G1070" s="376" t="s">
        <v>781</v>
      </c>
    </row>
    <row r="1071" spans="1:7" s="67" customFormat="1">
      <c r="A1071" s="367"/>
      <c r="B1071" s="367"/>
      <c r="C1071" s="264" t="s">
        <v>771</v>
      </c>
      <c r="D1071" s="361"/>
      <c r="E1071" s="375"/>
      <c r="F1071" s="338">
        <v>7.7809999999999997</v>
      </c>
      <c r="G1071" s="376"/>
    </row>
    <row r="1072" spans="1:7" s="67" customFormat="1">
      <c r="A1072" s="367"/>
      <c r="B1072" s="367"/>
      <c r="C1072" s="264" t="s">
        <v>275</v>
      </c>
      <c r="D1072" s="361"/>
      <c r="E1072" s="375"/>
      <c r="F1072" s="338"/>
      <c r="G1072" s="267"/>
    </row>
    <row r="1073" spans="1:7" s="67" customFormat="1">
      <c r="A1073" s="367"/>
      <c r="B1073" s="367"/>
      <c r="C1073" s="264" t="s">
        <v>150</v>
      </c>
      <c r="D1073" s="361"/>
      <c r="E1073" s="375"/>
      <c r="F1073" s="338"/>
      <c r="G1073" s="267"/>
    </row>
    <row r="1074" spans="1:7" s="67" customFormat="1">
      <c r="A1074" s="368"/>
      <c r="B1074" s="368"/>
      <c r="C1074" s="269" t="s">
        <v>167</v>
      </c>
      <c r="D1074" s="361"/>
      <c r="E1074" s="375"/>
      <c r="F1074" s="338"/>
      <c r="G1074" s="267"/>
    </row>
    <row r="1075" spans="1:7" s="67" customFormat="1">
      <c r="A1075" s="366" t="s">
        <v>785</v>
      </c>
      <c r="B1075" s="366" t="s">
        <v>785</v>
      </c>
      <c r="C1075" s="264" t="s">
        <v>66</v>
      </c>
      <c r="D1075" s="360">
        <f t="shared" ref="D1075" si="14">E1075</f>
        <v>64.381</v>
      </c>
      <c r="E1075" s="375">
        <f>F1075+F1076+F1077+F1078+F1079</f>
        <v>64.381</v>
      </c>
      <c r="F1075" s="338">
        <v>56.6</v>
      </c>
      <c r="G1075" s="376" t="s">
        <v>770</v>
      </c>
    </row>
    <row r="1076" spans="1:7" s="67" customFormat="1">
      <c r="A1076" s="367"/>
      <c r="B1076" s="367"/>
      <c r="C1076" s="264" t="s">
        <v>771</v>
      </c>
      <c r="D1076" s="361"/>
      <c r="E1076" s="375"/>
      <c r="F1076" s="338">
        <v>7.7809999999999997</v>
      </c>
      <c r="G1076" s="376"/>
    </row>
    <row r="1077" spans="1:7" s="67" customFormat="1">
      <c r="A1077" s="367"/>
      <c r="B1077" s="367"/>
      <c r="C1077" s="264" t="s">
        <v>275</v>
      </c>
      <c r="D1077" s="361"/>
      <c r="E1077" s="375"/>
      <c r="F1077" s="338"/>
      <c r="G1077" s="267"/>
    </row>
    <row r="1078" spans="1:7" s="67" customFormat="1">
      <c r="A1078" s="367"/>
      <c r="B1078" s="367"/>
      <c r="C1078" s="264" t="s">
        <v>150</v>
      </c>
      <c r="D1078" s="361"/>
      <c r="E1078" s="375"/>
      <c r="F1078" s="338"/>
      <c r="G1078" s="267"/>
    </row>
    <row r="1079" spans="1:7" s="67" customFormat="1">
      <c r="A1079" s="368"/>
      <c r="B1079" s="368"/>
      <c r="C1079" s="269" t="s">
        <v>167</v>
      </c>
      <c r="D1079" s="361"/>
      <c r="E1079" s="375"/>
      <c r="F1079" s="338"/>
      <c r="G1079" s="267"/>
    </row>
    <row r="1080" spans="1:7" s="67" customFormat="1">
      <c r="A1080" s="366" t="s">
        <v>786</v>
      </c>
      <c r="B1080" s="366" t="s">
        <v>786</v>
      </c>
      <c r="C1080" s="264" t="s">
        <v>66</v>
      </c>
      <c r="D1080" s="360">
        <f t="shared" ref="D1080" si="15">E1080</f>
        <v>24.983000000000001</v>
      </c>
      <c r="E1080" s="375">
        <f>F1080+F1081+F1082+F1083+F1084</f>
        <v>24.983000000000001</v>
      </c>
      <c r="F1080" s="338">
        <v>24.983000000000001</v>
      </c>
      <c r="G1080" s="376" t="s">
        <v>787</v>
      </c>
    </row>
    <row r="1081" spans="1:7" s="67" customFormat="1">
      <c r="A1081" s="367"/>
      <c r="B1081" s="367"/>
      <c r="C1081" s="264" t="s">
        <v>771</v>
      </c>
      <c r="D1081" s="361"/>
      <c r="E1081" s="375"/>
      <c r="F1081" s="338"/>
      <c r="G1081" s="376"/>
    </row>
    <row r="1082" spans="1:7" s="67" customFormat="1">
      <c r="A1082" s="367"/>
      <c r="B1082" s="367"/>
      <c r="C1082" s="264" t="s">
        <v>275</v>
      </c>
      <c r="D1082" s="361"/>
      <c r="E1082" s="375"/>
      <c r="F1082" s="338"/>
      <c r="G1082" s="267"/>
    </row>
    <row r="1083" spans="1:7" s="67" customFormat="1">
      <c r="A1083" s="367"/>
      <c r="B1083" s="367"/>
      <c r="C1083" s="264" t="s">
        <v>150</v>
      </c>
      <c r="D1083" s="361"/>
      <c r="E1083" s="375"/>
      <c r="F1083" s="338"/>
      <c r="G1083" s="267"/>
    </row>
    <row r="1084" spans="1:7" s="67" customFormat="1">
      <c r="A1084" s="368"/>
      <c r="B1084" s="368"/>
      <c r="C1084" s="269" t="s">
        <v>167</v>
      </c>
      <c r="D1084" s="361"/>
      <c r="E1084" s="375"/>
      <c r="F1084" s="338"/>
      <c r="G1084" s="267"/>
    </row>
    <row r="1085" spans="1:7" s="67" customFormat="1">
      <c r="A1085" s="366" t="s">
        <v>788</v>
      </c>
      <c r="B1085" s="366" t="s">
        <v>788</v>
      </c>
      <c r="C1085" s="264" t="s">
        <v>66</v>
      </c>
      <c r="D1085" s="360">
        <f t="shared" ref="D1085" si="16">E1085</f>
        <v>94.576999999999998</v>
      </c>
      <c r="E1085" s="375">
        <f>F1085+F1086+F1087+F1088+F1089</f>
        <v>94.576999999999998</v>
      </c>
      <c r="F1085" s="338">
        <v>94.576999999999998</v>
      </c>
      <c r="G1085" s="376" t="s">
        <v>787</v>
      </c>
    </row>
    <row r="1086" spans="1:7" s="67" customFormat="1">
      <c r="A1086" s="367"/>
      <c r="B1086" s="367"/>
      <c r="C1086" s="264" t="s">
        <v>771</v>
      </c>
      <c r="D1086" s="361"/>
      <c r="E1086" s="375"/>
      <c r="F1086" s="338"/>
      <c r="G1086" s="376"/>
    </row>
    <row r="1087" spans="1:7" s="67" customFormat="1">
      <c r="A1087" s="367"/>
      <c r="B1087" s="367"/>
      <c r="C1087" s="264" t="s">
        <v>275</v>
      </c>
      <c r="D1087" s="361"/>
      <c r="E1087" s="375"/>
      <c r="F1087" s="338"/>
      <c r="G1087" s="267"/>
    </row>
    <row r="1088" spans="1:7" s="67" customFormat="1">
      <c r="A1088" s="367"/>
      <c r="B1088" s="367"/>
      <c r="C1088" s="264" t="s">
        <v>150</v>
      </c>
      <c r="D1088" s="361"/>
      <c r="E1088" s="375"/>
      <c r="F1088" s="338"/>
      <c r="G1088" s="267"/>
    </row>
    <row r="1089" spans="1:7" s="67" customFormat="1">
      <c r="A1089" s="368"/>
      <c r="B1089" s="368"/>
      <c r="C1089" s="269" t="s">
        <v>167</v>
      </c>
      <c r="D1089" s="361"/>
      <c r="E1089" s="375"/>
      <c r="F1089" s="338"/>
      <c r="G1089" s="267"/>
    </row>
    <row r="1090" spans="1:7" s="67" customFormat="1">
      <c r="A1090" s="366" t="s">
        <v>789</v>
      </c>
      <c r="B1090" s="366" t="s">
        <v>789</v>
      </c>
      <c r="C1090" s="264" t="s">
        <v>66</v>
      </c>
      <c r="D1090" s="360">
        <f t="shared" ref="D1090" si="17">E1090</f>
        <v>91.947999999999993</v>
      </c>
      <c r="E1090" s="375">
        <f>F1090+F1091+F1092+F1093+F1094</f>
        <v>91.947999999999993</v>
      </c>
      <c r="F1090" s="338">
        <v>91.947999999999993</v>
      </c>
      <c r="G1090" s="376" t="s">
        <v>787</v>
      </c>
    </row>
    <row r="1091" spans="1:7" s="67" customFormat="1">
      <c r="A1091" s="367"/>
      <c r="B1091" s="367"/>
      <c r="C1091" s="264" t="s">
        <v>771</v>
      </c>
      <c r="D1091" s="361"/>
      <c r="E1091" s="375"/>
      <c r="F1091" s="338"/>
      <c r="G1091" s="376"/>
    </row>
    <row r="1092" spans="1:7" s="67" customFormat="1">
      <c r="A1092" s="367"/>
      <c r="B1092" s="367"/>
      <c r="C1092" s="264" t="s">
        <v>275</v>
      </c>
      <c r="D1092" s="361"/>
      <c r="E1092" s="375"/>
      <c r="F1092" s="338"/>
      <c r="G1092" s="267"/>
    </row>
    <row r="1093" spans="1:7" s="67" customFormat="1">
      <c r="A1093" s="367"/>
      <c r="B1093" s="367"/>
      <c r="C1093" s="264" t="s">
        <v>150</v>
      </c>
      <c r="D1093" s="361"/>
      <c r="E1093" s="375"/>
      <c r="F1093" s="338"/>
      <c r="G1093" s="267"/>
    </row>
    <row r="1094" spans="1:7" s="67" customFormat="1">
      <c r="A1094" s="368"/>
      <c r="B1094" s="368"/>
      <c r="C1094" s="269" t="s">
        <v>167</v>
      </c>
      <c r="D1094" s="361"/>
      <c r="E1094" s="375"/>
      <c r="F1094" s="338"/>
      <c r="G1094" s="267"/>
    </row>
    <row r="1095" spans="1:7" s="67" customFormat="1">
      <c r="A1095" s="271" t="s">
        <v>166</v>
      </c>
      <c r="B1095" s="268"/>
      <c r="C1095" s="264"/>
      <c r="D1095" s="340">
        <f>SUM(D1008:D1094)</f>
        <v>8791.9420000000009</v>
      </c>
      <c r="E1095" s="340">
        <f>SUM(E1008:E1094)</f>
        <v>8791.9420000000009</v>
      </c>
      <c r="F1095" s="340">
        <f>SUM(F1008:F1094)</f>
        <v>8791.9420000000046</v>
      </c>
      <c r="G1095" s="267"/>
    </row>
    <row r="1096" spans="1:7" s="67" customFormat="1">
      <c r="A1096" s="366" t="s">
        <v>172</v>
      </c>
      <c r="B1096" s="366" t="s">
        <v>173</v>
      </c>
      <c r="C1096" s="264" t="s">
        <v>66</v>
      </c>
      <c r="D1096" s="372">
        <f>E1096</f>
        <v>66.595320000000001</v>
      </c>
      <c r="E1096" s="372">
        <f>F1096+F1097+F1098+F1099+F1100</f>
        <v>66.595320000000001</v>
      </c>
      <c r="F1096" s="338">
        <v>60.508159999999997</v>
      </c>
      <c r="G1096" s="369" t="s">
        <v>279</v>
      </c>
    </row>
    <row r="1097" spans="1:7" s="67" customFormat="1">
      <c r="A1097" s="367"/>
      <c r="B1097" s="367"/>
      <c r="C1097" s="264" t="s">
        <v>771</v>
      </c>
      <c r="D1097" s="373"/>
      <c r="E1097" s="373"/>
      <c r="F1097" s="338">
        <v>6.0871599999999999</v>
      </c>
      <c r="G1097" s="371"/>
    </row>
    <row r="1098" spans="1:7" s="67" customFormat="1">
      <c r="A1098" s="367"/>
      <c r="B1098" s="367"/>
      <c r="C1098" s="264" t="s">
        <v>275</v>
      </c>
      <c r="D1098" s="373"/>
      <c r="E1098" s="373"/>
      <c r="F1098" s="340"/>
      <c r="G1098" s="267"/>
    </row>
    <row r="1099" spans="1:7" s="67" customFormat="1">
      <c r="A1099" s="367"/>
      <c r="B1099" s="367"/>
      <c r="C1099" s="264" t="s">
        <v>150</v>
      </c>
      <c r="D1099" s="373"/>
      <c r="E1099" s="373"/>
      <c r="F1099" s="340"/>
      <c r="G1099" s="267"/>
    </row>
    <row r="1100" spans="1:7" s="67" customFormat="1">
      <c r="A1100" s="368"/>
      <c r="B1100" s="368"/>
      <c r="C1100" s="269" t="s">
        <v>167</v>
      </c>
      <c r="D1100" s="374"/>
      <c r="E1100" s="374"/>
      <c r="F1100" s="338"/>
      <c r="G1100" s="267"/>
    </row>
    <row r="1101" spans="1:7" s="67" customFormat="1">
      <c r="A1101" s="366" t="s">
        <v>174</v>
      </c>
      <c r="B1101" s="366" t="s">
        <v>175</v>
      </c>
      <c r="C1101" s="264" t="s">
        <v>66</v>
      </c>
      <c r="D1101" s="372">
        <f>E1101</f>
        <v>66.595320000000001</v>
      </c>
      <c r="E1101" s="372">
        <f>F1101+F1102+F1103+F1104+F1105</f>
        <v>66.595320000000001</v>
      </c>
      <c r="F1101" s="341">
        <v>60.508159999999997</v>
      </c>
      <c r="G1101" s="369" t="s">
        <v>279</v>
      </c>
    </row>
    <row r="1102" spans="1:7" s="67" customFormat="1">
      <c r="A1102" s="367"/>
      <c r="B1102" s="367"/>
      <c r="C1102" s="264" t="s">
        <v>771</v>
      </c>
      <c r="D1102" s="373"/>
      <c r="E1102" s="373"/>
      <c r="F1102" s="341">
        <v>6.0871599999999999</v>
      </c>
      <c r="G1102" s="371"/>
    </row>
    <row r="1103" spans="1:7" s="67" customFormat="1">
      <c r="A1103" s="367"/>
      <c r="B1103" s="367"/>
      <c r="C1103" s="264" t="s">
        <v>150</v>
      </c>
      <c r="D1103" s="373"/>
      <c r="E1103" s="373"/>
      <c r="F1103" s="338"/>
      <c r="G1103" s="267"/>
    </row>
    <row r="1104" spans="1:7" s="67" customFormat="1">
      <c r="A1104" s="367"/>
      <c r="B1104" s="367"/>
      <c r="C1104" s="264" t="s">
        <v>275</v>
      </c>
      <c r="D1104" s="373"/>
      <c r="E1104" s="373"/>
      <c r="F1104" s="338"/>
      <c r="G1104" s="267"/>
    </row>
    <row r="1105" spans="1:7" s="67" customFormat="1">
      <c r="A1105" s="368"/>
      <c r="B1105" s="368"/>
      <c r="C1105" s="264" t="s">
        <v>167</v>
      </c>
      <c r="D1105" s="374"/>
      <c r="E1105" s="374"/>
      <c r="F1105" s="338"/>
      <c r="G1105" s="267"/>
    </row>
    <row r="1106" spans="1:7" s="67" customFormat="1">
      <c r="A1106" s="366" t="s">
        <v>176</v>
      </c>
      <c r="B1106" s="366" t="s">
        <v>177</v>
      </c>
      <c r="C1106" s="264" t="s">
        <v>66</v>
      </c>
      <c r="D1106" s="372">
        <f>E1106</f>
        <v>2624.5980499999996</v>
      </c>
      <c r="E1106" s="372">
        <f>F1106+F1107+F1108+F1109+F1110</f>
        <v>2624.5980499999996</v>
      </c>
      <c r="F1106" s="338">
        <v>91.391580000000005</v>
      </c>
      <c r="G1106" s="369" t="s">
        <v>279</v>
      </c>
    </row>
    <row r="1107" spans="1:7" s="67" customFormat="1">
      <c r="A1107" s="367"/>
      <c r="B1107" s="367"/>
      <c r="C1107" s="264" t="s">
        <v>771</v>
      </c>
      <c r="D1107" s="373"/>
      <c r="E1107" s="373"/>
      <c r="F1107" s="338">
        <v>7.9515799999999999</v>
      </c>
      <c r="G1107" s="371"/>
    </row>
    <row r="1108" spans="1:7" s="67" customFormat="1" ht="47.25">
      <c r="A1108" s="367"/>
      <c r="B1108" s="367"/>
      <c r="C1108" s="264" t="s">
        <v>150</v>
      </c>
      <c r="D1108" s="373"/>
      <c r="E1108" s="373"/>
      <c r="F1108" s="338">
        <v>42.84</v>
      </c>
      <c r="G1108" s="267" t="s">
        <v>790</v>
      </c>
    </row>
    <row r="1109" spans="1:7" s="67" customFormat="1" ht="31.5">
      <c r="A1109" s="367"/>
      <c r="B1109" s="367"/>
      <c r="C1109" s="264" t="s">
        <v>275</v>
      </c>
      <c r="D1109" s="373"/>
      <c r="E1109" s="373"/>
      <c r="F1109" s="338">
        <v>8.1</v>
      </c>
      <c r="G1109" s="267" t="s">
        <v>279</v>
      </c>
    </row>
    <row r="1110" spans="1:7" s="67" customFormat="1" ht="47.25">
      <c r="A1110" s="368"/>
      <c r="B1110" s="368"/>
      <c r="C1110" s="264" t="s">
        <v>167</v>
      </c>
      <c r="D1110" s="374"/>
      <c r="E1110" s="374"/>
      <c r="F1110" s="338">
        <f>1284.41339+1189.9015</f>
        <v>2474.3148899999997</v>
      </c>
      <c r="G1110" s="267" t="s">
        <v>791</v>
      </c>
    </row>
    <row r="1111" spans="1:7" s="67" customFormat="1">
      <c r="A1111" s="366" t="s">
        <v>178</v>
      </c>
      <c r="B1111" s="366" t="s">
        <v>179</v>
      </c>
      <c r="C1111" s="264" t="s">
        <v>66</v>
      </c>
      <c r="D1111" s="372">
        <f>E1111</f>
        <v>3180.6116999999999</v>
      </c>
      <c r="E1111" s="372">
        <f>F1111+F1112+F1113+F1114+F1115</f>
        <v>3180.6116999999999</v>
      </c>
      <c r="F1111" s="338">
        <v>95.656840000000003</v>
      </c>
      <c r="G1111" s="369" t="s">
        <v>279</v>
      </c>
    </row>
    <row r="1112" spans="1:7" s="67" customFormat="1">
      <c r="A1112" s="367"/>
      <c r="B1112" s="367"/>
      <c r="C1112" s="264" t="s">
        <v>771</v>
      </c>
      <c r="D1112" s="373"/>
      <c r="E1112" s="373"/>
      <c r="F1112" s="338">
        <v>9.0808400000000002</v>
      </c>
      <c r="G1112" s="371"/>
    </row>
    <row r="1113" spans="1:7" s="67" customFormat="1" ht="31.5">
      <c r="A1113" s="367"/>
      <c r="B1113" s="367"/>
      <c r="C1113" s="264" t="s">
        <v>150</v>
      </c>
      <c r="D1113" s="373"/>
      <c r="E1113" s="373"/>
      <c r="F1113" s="338">
        <v>51.245260000000002</v>
      </c>
      <c r="G1113" s="267" t="s">
        <v>225</v>
      </c>
    </row>
    <row r="1114" spans="1:7" s="67" customFormat="1" ht="31.5">
      <c r="A1114" s="367"/>
      <c r="B1114" s="367"/>
      <c r="C1114" s="264" t="s">
        <v>275</v>
      </c>
      <c r="D1114" s="373"/>
      <c r="E1114" s="373"/>
      <c r="F1114" s="338">
        <v>10.8</v>
      </c>
      <c r="G1114" s="267" t="s">
        <v>279</v>
      </c>
    </row>
    <row r="1115" spans="1:7" s="67" customFormat="1" ht="47.25">
      <c r="A1115" s="368"/>
      <c r="B1115" s="368"/>
      <c r="C1115" s="264" t="s">
        <v>167</v>
      </c>
      <c r="D1115" s="374"/>
      <c r="E1115" s="374"/>
      <c r="F1115" s="338">
        <f>1539.99364+1473.83512</f>
        <v>3013.8287599999999</v>
      </c>
      <c r="G1115" s="267" t="s">
        <v>791</v>
      </c>
    </row>
    <row r="1116" spans="1:7" s="67" customFormat="1">
      <c r="A1116" s="366" t="s">
        <v>280</v>
      </c>
      <c r="B1116" s="366" t="s">
        <v>281</v>
      </c>
      <c r="C1116" s="264" t="s">
        <v>66</v>
      </c>
      <c r="D1116" s="372">
        <f>E1116</f>
        <v>955.50477999999998</v>
      </c>
      <c r="E1116" s="372">
        <f>F1116+F1117+F1118+F1119+F1120</f>
        <v>955.50477999999998</v>
      </c>
      <c r="F1116" s="338">
        <v>65.516840000000002</v>
      </c>
      <c r="G1116" s="369" t="s">
        <v>274</v>
      </c>
    </row>
    <row r="1117" spans="1:7" s="67" customFormat="1">
      <c r="A1117" s="367"/>
      <c r="B1117" s="367"/>
      <c r="C1117" s="264" t="s">
        <v>771</v>
      </c>
      <c r="D1117" s="373"/>
      <c r="E1117" s="373"/>
      <c r="F1117" s="338">
        <v>5.952</v>
      </c>
      <c r="G1117" s="371"/>
    </row>
    <row r="1118" spans="1:7" s="67" customFormat="1" ht="47.25">
      <c r="A1118" s="367"/>
      <c r="B1118" s="367"/>
      <c r="C1118" s="264" t="s">
        <v>150</v>
      </c>
      <c r="D1118" s="373"/>
      <c r="E1118" s="373"/>
      <c r="F1118" s="338">
        <v>15.510529999999999</v>
      </c>
      <c r="G1118" s="267" t="s">
        <v>790</v>
      </c>
    </row>
    <row r="1119" spans="1:7" s="67" customFormat="1" ht="31.5">
      <c r="A1119" s="367"/>
      <c r="B1119" s="367"/>
      <c r="C1119" s="264" t="s">
        <v>275</v>
      </c>
      <c r="D1119" s="373"/>
      <c r="E1119" s="373"/>
      <c r="F1119" s="338">
        <v>3.24</v>
      </c>
      <c r="G1119" s="267" t="s">
        <v>274</v>
      </c>
    </row>
    <row r="1120" spans="1:7" s="67" customFormat="1" ht="31.5">
      <c r="A1120" s="368"/>
      <c r="B1120" s="368"/>
      <c r="C1120" s="264" t="s">
        <v>167</v>
      </c>
      <c r="D1120" s="374"/>
      <c r="E1120" s="374"/>
      <c r="F1120" s="338">
        <f>473.41137+391.87404</f>
        <v>865.28540999999996</v>
      </c>
      <c r="G1120" s="267" t="s">
        <v>276</v>
      </c>
    </row>
    <row r="1121" spans="1:7" s="67" customFormat="1">
      <c r="A1121" s="366" t="s">
        <v>180</v>
      </c>
      <c r="B1121" s="366" t="s">
        <v>181</v>
      </c>
      <c r="C1121" s="264" t="s">
        <v>66</v>
      </c>
      <c r="D1121" s="372">
        <f>E1121</f>
        <v>2751.9015899999999</v>
      </c>
      <c r="E1121" s="372">
        <f>F1121+F1122+F1123+F1124+F1125</f>
        <v>2751.9015899999999</v>
      </c>
      <c r="F1121" s="338">
        <v>93.350059999999999</v>
      </c>
      <c r="G1121" s="369" t="s">
        <v>781</v>
      </c>
    </row>
    <row r="1122" spans="1:7" s="67" customFormat="1">
      <c r="A1122" s="367"/>
      <c r="B1122" s="367"/>
      <c r="C1122" s="264" t="s">
        <v>771</v>
      </c>
      <c r="D1122" s="373"/>
      <c r="E1122" s="373"/>
      <c r="F1122" s="338">
        <v>8.4505300000000005</v>
      </c>
      <c r="G1122" s="371"/>
    </row>
    <row r="1123" spans="1:7" s="67" customFormat="1">
      <c r="A1123" s="367"/>
      <c r="B1123" s="367"/>
      <c r="C1123" s="264" t="s">
        <v>150</v>
      </c>
      <c r="D1123" s="373"/>
      <c r="E1123" s="373"/>
      <c r="F1123" s="338">
        <v>43.758000000000003</v>
      </c>
      <c r="G1123" s="267" t="s">
        <v>774</v>
      </c>
    </row>
    <row r="1124" spans="1:7" s="67" customFormat="1" ht="31.5">
      <c r="A1124" s="367"/>
      <c r="B1124" s="367"/>
      <c r="C1124" s="264" t="s">
        <v>275</v>
      </c>
      <c r="D1124" s="373"/>
      <c r="E1124" s="373"/>
      <c r="F1124" s="338">
        <v>9.18</v>
      </c>
      <c r="G1124" s="267" t="s">
        <v>781</v>
      </c>
    </row>
    <row r="1125" spans="1:7" s="67" customFormat="1" ht="47.25">
      <c r="A1125" s="368"/>
      <c r="B1125" s="368"/>
      <c r="C1125" s="264" t="s">
        <v>775</v>
      </c>
      <c r="D1125" s="374"/>
      <c r="E1125" s="374"/>
      <c r="F1125" s="338">
        <f>1320.36+1276.803</f>
        <v>2597.163</v>
      </c>
      <c r="G1125" s="267" t="s">
        <v>779</v>
      </c>
    </row>
    <row r="1126" spans="1:7" s="67" customFormat="1" ht="31.5">
      <c r="A1126" s="266" t="s">
        <v>182</v>
      </c>
      <c r="B1126" s="266" t="s">
        <v>183</v>
      </c>
      <c r="C1126" s="264" t="s">
        <v>170</v>
      </c>
      <c r="D1126" s="338">
        <v>8.1052</v>
      </c>
      <c r="E1126" s="338">
        <v>8.1052</v>
      </c>
      <c r="F1126" s="338">
        <v>8.1052</v>
      </c>
      <c r="G1126" s="267" t="s">
        <v>184</v>
      </c>
    </row>
    <row r="1127" spans="1:7" s="67" customFormat="1" ht="31.5">
      <c r="A1127" s="266" t="s">
        <v>185</v>
      </c>
      <c r="B1127" s="266" t="s">
        <v>186</v>
      </c>
      <c r="C1127" s="264" t="s">
        <v>170</v>
      </c>
      <c r="D1127" s="338">
        <v>8.1052</v>
      </c>
      <c r="E1127" s="338">
        <v>8.1052</v>
      </c>
      <c r="F1127" s="338">
        <v>8.1052</v>
      </c>
      <c r="G1127" s="267" t="s">
        <v>184</v>
      </c>
    </row>
    <row r="1128" spans="1:7" s="67" customFormat="1" ht="47.25">
      <c r="A1128" s="266" t="s">
        <v>187</v>
      </c>
      <c r="B1128" s="266" t="s">
        <v>188</v>
      </c>
      <c r="C1128" s="264" t="s">
        <v>170</v>
      </c>
      <c r="D1128" s="338">
        <v>8.1052</v>
      </c>
      <c r="E1128" s="338">
        <v>8.1052</v>
      </c>
      <c r="F1128" s="338">
        <v>8.1052</v>
      </c>
      <c r="G1128" s="267" t="s">
        <v>184</v>
      </c>
    </row>
    <row r="1129" spans="1:7" s="67" customFormat="1" ht="63">
      <c r="A1129" s="266" t="s">
        <v>189</v>
      </c>
      <c r="B1129" s="266" t="s">
        <v>190</v>
      </c>
      <c r="C1129" s="264" t="s">
        <v>170</v>
      </c>
      <c r="D1129" s="338">
        <v>8.1052</v>
      </c>
      <c r="E1129" s="338">
        <v>8.1052</v>
      </c>
      <c r="F1129" s="338">
        <v>8.1052</v>
      </c>
      <c r="G1129" s="267" t="s">
        <v>184</v>
      </c>
    </row>
    <row r="1130" spans="1:7" s="67" customFormat="1" ht="47.25">
      <c r="A1130" s="266" t="s">
        <v>191</v>
      </c>
      <c r="B1130" s="266" t="s">
        <v>192</v>
      </c>
      <c r="C1130" s="264" t="s">
        <v>170</v>
      </c>
      <c r="D1130" s="338">
        <v>8.1052</v>
      </c>
      <c r="E1130" s="338">
        <v>8.1052</v>
      </c>
      <c r="F1130" s="338">
        <v>8.1052</v>
      </c>
      <c r="G1130" s="267" t="s">
        <v>184</v>
      </c>
    </row>
    <row r="1131" spans="1:7" s="67" customFormat="1">
      <c r="A1131" s="366" t="s">
        <v>792</v>
      </c>
      <c r="B1131" s="366" t="s">
        <v>793</v>
      </c>
      <c r="C1131" s="264" t="s">
        <v>66</v>
      </c>
      <c r="D1131" s="360">
        <f>E1131</f>
        <v>983.54788000000008</v>
      </c>
      <c r="E1131" s="360">
        <f>F1131+F1132+F1133+F1134+F1135</f>
        <v>983.54788000000008</v>
      </c>
      <c r="F1131" s="338">
        <v>61.357889999999998</v>
      </c>
      <c r="G1131" s="369" t="s">
        <v>770</v>
      </c>
    </row>
    <row r="1132" spans="1:7" s="67" customFormat="1">
      <c r="A1132" s="367"/>
      <c r="B1132" s="367"/>
      <c r="C1132" s="264" t="s">
        <v>771</v>
      </c>
      <c r="D1132" s="361"/>
      <c r="E1132" s="361"/>
      <c r="F1132" s="338">
        <v>5.7018899999999997</v>
      </c>
      <c r="G1132" s="371"/>
    </row>
    <row r="1133" spans="1:7" s="67" customFormat="1">
      <c r="A1133" s="367"/>
      <c r="B1133" s="367"/>
      <c r="C1133" s="264" t="s">
        <v>150</v>
      </c>
      <c r="D1133" s="361"/>
      <c r="E1133" s="361"/>
      <c r="F1133" s="338">
        <v>14.382</v>
      </c>
      <c r="G1133" s="267" t="s">
        <v>774</v>
      </c>
    </row>
    <row r="1134" spans="1:7" s="67" customFormat="1">
      <c r="A1134" s="367"/>
      <c r="B1134" s="367"/>
      <c r="C1134" s="264" t="s">
        <v>275</v>
      </c>
      <c r="D1134" s="361"/>
      <c r="E1134" s="361"/>
      <c r="F1134" s="338">
        <v>10.8</v>
      </c>
      <c r="G1134" s="267" t="s">
        <v>770</v>
      </c>
    </row>
    <row r="1135" spans="1:7" s="67" customFormat="1" ht="31.5">
      <c r="A1135" s="368"/>
      <c r="B1135" s="368"/>
      <c r="C1135" s="264" t="s">
        <v>775</v>
      </c>
      <c r="D1135" s="362"/>
      <c r="E1135" s="362"/>
      <c r="F1135" s="338">
        <f>451.2211+440.085</f>
        <v>891.30610000000001</v>
      </c>
      <c r="G1135" s="267" t="s">
        <v>773</v>
      </c>
    </row>
    <row r="1136" spans="1:7" s="67" customFormat="1">
      <c r="A1136" s="366" t="s">
        <v>794</v>
      </c>
      <c r="B1136" s="366" t="s">
        <v>795</v>
      </c>
      <c r="C1136" s="264" t="s">
        <v>66</v>
      </c>
      <c r="D1136" s="360">
        <f>E1136</f>
        <v>75.133260000000007</v>
      </c>
      <c r="E1136" s="360">
        <f>F1136+F1137+F1138+F1139+F1140</f>
        <v>75.133260000000007</v>
      </c>
      <c r="F1136" s="338">
        <v>68.876840000000001</v>
      </c>
      <c r="G1136" s="369" t="s">
        <v>274</v>
      </c>
    </row>
    <row r="1137" spans="1:7" s="67" customFormat="1">
      <c r="A1137" s="367"/>
      <c r="B1137" s="367"/>
      <c r="C1137" s="264" t="s">
        <v>771</v>
      </c>
      <c r="D1137" s="361"/>
      <c r="E1137" s="361"/>
      <c r="F1137" s="338">
        <v>6.2564200000000003</v>
      </c>
      <c r="G1137" s="371"/>
    </row>
    <row r="1138" spans="1:7" s="67" customFormat="1">
      <c r="A1138" s="367"/>
      <c r="B1138" s="367"/>
      <c r="C1138" s="264" t="s">
        <v>150</v>
      </c>
      <c r="D1138" s="361"/>
      <c r="E1138" s="361"/>
      <c r="F1138" s="338"/>
      <c r="G1138" s="267"/>
    </row>
    <row r="1139" spans="1:7" s="67" customFormat="1">
      <c r="A1139" s="367"/>
      <c r="B1139" s="367"/>
      <c r="C1139" s="264" t="s">
        <v>275</v>
      </c>
      <c r="D1139" s="361"/>
      <c r="E1139" s="361"/>
      <c r="F1139" s="338"/>
      <c r="G1139" s="267"/>
    </row>
    <row r="1140" spans="1:7" s="67" customFormat="1">
      <c r="A1140" s="368"/>
      <c r="B1140" s="368"/>
      <c r="C1140" s="264" t="s">
        <v>167</v>
      </c>
      <c r="D1140" s="362"/>
      <c r="E1140" s="362"/>
      <c r="F1140" s="338"/>
      <c r="G1140" s="267"/>
    </row>
    <row r="1141" spans="1:7" s="67" customFormat="1">
      <c r="A1141" s="366" t="s">
        <v>796</v>
      </c>
      <c r="B1141" s="366" t="s">
        <v>797</v>
      </c>
      <c r="C1141" s="264" t="s">
        <v>66</v>
      </c>
      <c r="D1141" s="360">
        <f>E1141</f>
        <v>953.36126000000002</v>
      </c>
      <c r="E1141" s="360">
        <f>F1141+F1142+F1143+F1144+F1145</f>
        <v>953.36126000000002</v>
      </c>
      <c r="F1141" s="338">
        <v>61.947369999999999</v>
      </c>
      <c r="G1141" s="369" t="s">
        <v>770</v>
      </c>
    </row>
    <row r="1142" spans="1:7" s="67" customFormat="1">
      <c r="A1142" s="367"/>
      <c r="B1142" s="367"/>
      <c r="C1142" s="264" t="s">
        <v>771</v>
      </c>
      <c r="D1142" s="361"/>
      <c r="E1142" s="361"/>
      <c r="F1142" s="338">
        <v>5.7018899999999997</v>
      </c>
      <c r="G1142" s="370"/>
    </row>
    <row r="1143" spans="1:7" s="67" customFormat="1">
      <c r="A1143" s="367"/>
      <c r="B1143" s="367"/>
      <c r="C1143" s="264" t="s">
        <v>275</v>
      </c>
      <c r="D1143" s="361"/>
      <c r="E1143" s="361"/>
      <c r="F1143" s="338">
        <v>10.8</v>
      </c>
      <c r="G1143" s="371"/>
    </row>
    <row r="1144" spans="1:7" s="67" customFormat="1">
      <c r="A1144" s="367"/>
      <c r="B1144" s="367"/>
      <c r="C1144" s="264" t="s">
        <v>150</v>
      </c>
      <c r="D1144" s="361"/>
      <c r="E1144" s="361"/>
      <c r="F1144" s="338">
        <v>13.897</v>
      </c>
      <c r="G1144" s="267" t="s">
        <v>774</v>
      </c>
    </row>
    <row r="1145" spans="1:7" s="67" customFormat="1" ht="31.5">
      <c r="A1145" s="368"/>
      <c r="B1145" s="368"/>
      <c r="C1145" s="264" t="s">
        <v>167</v>
      </c>
      <c r="D1145" s="362"/>
      <c r="E1145" s="362"/>
      <c r="F1145" s="338">
        <f>435.566+425.449</f>
        <v>861.01499999999999</v>
      </c>
      <c r="G1145" s="267" t="s">
        <v>763</v>
      </c>
    </row>
    <row r="1146" spans="1:7" s="67" customFormat="1">
      <c r="A1146" s="366" t="s">
        <v>798</v>
      </c>
      <c r="B1146" s="366" t="s">
        <v>799</v>
      </c>
      <c r="C1146" s="264" t="s">
        <v>66</v>
      </c>
      <c r="D1146" s="360">
        <f>E1146</f>
        <v>2052.9398999999999</v>
      </c>
      <c r="E1146" s="360">
        <f>F1146+F1147+F1148+F1149+F1150</f>
        <v>2052.9398999999999</v>
      </c>
      <c r="F1146" s="342">
        <v>97.431579999999997</v>
      </c>
      <c r="G1146" s="369" t="s">
        <v>770</v>
      </c>
    </row>
    <row r="1147" spans="1:7" s="67" customFormat="1">
      <c r="A1147" s="367"/>
      <c r="B1147" s="367"/>
      <c r="C1147" s="264" t="s">
        <v>771</v>
      </c>
      <c r="D1147" s="361"/>
      <c r="E1147" s="361"/>
      <c r="F1147" s="342">
        <v>7.1027399999999998</v>
      </c>
      <c r="G1147" s="371"/>
    </row>
    <row r="1148" spans="1:7" s="67" customFormat="1">
      <c r="A1148" s="367"/>
      <c r="B1148" s="367"/>
      <c r="C1148" s="264" t="s">
        <v>150</v>
      </c>
      <c r="D1148" s="361"/>
      <c r="E1148" s="361"/>
      <c r="F1148" s="342">
        <v>30.94632</v>
      </c>
      <c r="G1148" s="267" t="s">
        <v>774</v>
      </c>
    </row>
    <row r="1149" spans="1:7" s="67" customFormat="1">
      <c r="A1149" s="367"/>
      <c r="B1149" s="367"/>
      <c r="C1149" s="264" t="s">
        <v>275</v>
      </c>
      <c r="D1149" s="361"/>
      <c r="E1149" s="361"/>
      <c r="F1149" s="342">
        <v>10.8</v>
      </c>
      <c r="G1149" s="267" t="s">
        <v>770</v>
      </c>
    </row>
    <row r="1150" spans="1:7" s="67" customFormat="1" ht="47.25">
      <c r="A1150" s="368"/>
      <c r="B1150" s="368"/>
      <c r="C1150" s="264" t="s">
        <v>167</v>
      </c>
      <c r="D1150" s="362"/>
      <c r="E1150" s="362"/>
      <c r="F1150" s="342">
        <f>955.77219+950.88707</f>
        <v>1906.6592599999999</v>
      </c>
      <c r="G1150" s="267" t="s">
        <v>779</v>
      </c>
    </row>
    <row r="1151" spans="1:7" s="67" customFormat="1">
      <c r="A1151" s="366" t="s">
        <v>800</v>
      </c>
      <c r="B1151" s="366" t="s">
        <v>800</v>
      </c>
      <c r="C1151" s="264" t="s">
        <v>66</v>
      </c>
      <c r="D1151" s="360">
        <f>E1151</f>
        <v>58.088369999999998</v>
      </c>
      <c r="E1151" s="360">
        <f>F1151+F1152+F1153+F1154+F1155</f>
        <v>58.088369999999998</v>
      </c>
      <c r="F1151" s="342">
        <v>50.307369999999999</v>
      </c>
      <c r="G1151" s="369" t="s">
        <v>770</v>
      </c>
    </row>
    <row r="1152" spans="1:7" s="67" customFormat="1">
      <c r="A1152" s="367"/>
      <c r="B1152" s="367"/>
      <c r="C1152" s="264" t="s">
        <v>771</v>
      </c>
      <c r="D1152" s="361"/>
      <c r="E1152" s="361"/>
      <c r="F1152" s="342">
        <v>7.7809999999999997</v>
      </c>
      <c r="G1152" s="370"/>
    </row>
    <row r="1153" spans="1:7" s="67" customFormat="1">
      <c r="A1153" s="367"/>
      <c r="B1153" s="367"/>
      <c r="C1153" s="264" t="s">
        <v>275</v>
      </c>
      <c r="D1153" s="361"/>
      <c r="E1153" s="361"/>
      <c r="F1153" s="342"/>
      <c r="G1153" s="371"/>
    </row>
    <row r="1154" spans="1:7" s="67" customFormat="1">
      <c r="A1154" s="367"/>
      <c r="B1154" s="367"/>
      <c r="C1154" s="264" t="s">
        <v>150</v>
      </c>
      <c r="D1154" s="361"/>
      <c r="E1154" s="361"/>
      <c r="F1154" s="342"/>
      <c r="G1154" s="267"/>
    </row>
    <row r="1155" spans="1:7" s="67" customFormat="1">
      <c r="A1155" s="368"/>
      <c r="B1155" s="368"/>
      <c r="C1155" s="264" t="s">
        <v>167</v>
      </c>
      <c r="D1155" s="362"/>
      <c r="E1155" s="362"/>
      <c r="F1155" s="342"/>
      <c r="G1155" s="267"/>
    </row>
    <row r="1156" spans="1:7" s="67" customFormat="1">
      <c r="A1156" s="366" t="s">
        <v>801</v>
      </c>
      <c r="B1156" s="366" t="s">
        <v>801</v>
      </c>
      <c r="C1156" s="264" t="s">
        <v>66</v>
      </c>
      <c r="D1156" s="360">
        <f>E1156</f>
        <v>199.98600000000002</v>
      </c>
      <c r="E1156" s="360">
        <f>F1156+F1157+F1158+F1159+F1160</f>
        <v>199.98600000000002</v>
      </c>
      <c r="F1156" s="342">
        <v>187.07400000000001</v>
      </c>
      <c r="G1156" s="369" t="s">
        <v>770</v>
      </c>
    </row>
    <row r="1157" spans="1:7" s="67" customFormat="1">
      <c r="A1157" s="367"/>
      <c r="B1157" s="367"/>
      <c r="C1157" s="264" t="s">
        <v>771</v>
      </c>
      <c r="D1157" s="361"/>
      <c r="E1157" s="361"/>
      <c r="F1157" s="342">
        <v>12.912000000000001</v>
      </c>
      <c r="G1157" s="370"/>
    </row>
    <row r="1158" spans="1:7" s="67" customFormat="1">
      <c r="A1158" s="367"/>
      <c r="B1158" s="367"/>
      <c r="C1158" s="264" t="s">
        <v>275</v>
      </c>
      <c r="D1158" s="361"/>
      <c r="E1158" s="361"/>
      <c r="F1158" s="342"/>
      <c r="G1158" s="371"/>
    </row>
    <row r="1159" spans="1:7" s="67" customFormat="1">
      <c r="A1159" s="367"/>
      <c r="B1159" s="367"/>
      <c r="C1159" s="264" t="s">
        <v>150</v>
      </c>
      <c r="D1159" s="361"/>
      <c r="E1159" s="361"/>
      <c r="F1159" s="342"/>
      <c r="G1159" s="267"/>
    </row>
    <row r="1160" spans="1:7" s="67" customFormat="1">
      <c r="A1160" s="368"/>
      <c r="B1160" s="368"/>
      <c r="C1160" s="264" t="s">
        <v>167</v>
      </c>
      <c r="D1160" s="362"/>
      <c r="E1160" s="362"/>
      <c r="F1160" s="342"/>
      <c r="G1160" s="267"/>
    </row>
    <row r="1161" spans="1:7" s="67" customFormat="1">
      <c r="A1161" s="366" t="s">
        <v>802</v>
      </c>
      <c r="B1161" s="366" t="s">
        <v>802</v>
      </c>
      <c r="C1161" s="264" t="s">
        <v>66</v>
      </c>
      <c r="D1161" s="360">
        <f>E1161</f>
        <v>86.388999999999996</v>
      </c>
      <c r="E1161" s="360">
        <f>F1161+F1162+F1163+F1164+F1165</f>
        <v>86.388999999999996</v>
      </c>
      <c r="F1161" s="342">
        <v>77.149000000000001</v>
      </c>
      <c r="G1161" s="369" t="s">
        <v>781</v>
      </c>
    </row>
    <row r="1162" spans="1:7" s="67" customFormat="1">
      <c r="A1162" s="367"/>
      <c r="B1162" s="367"/>
      <c r="C1162" s="264" t="s">
        <v>771</v>
      </c>
      <c r="D1162" s="361"/>
      <c r="E1162" s="361"/>
      <c r="F1162" s="342">
        <v>9.24</v>
      </c>
      <c r="G1162" s="370"/>
    </row>
    <row r="1163" spans="1:7" s="67" customFormat="1">
      <c r="A1163" s="367"/>
      <c r="B1163" s="367"/>
      <c r="C1163" s="264" t="s">
        <v>275</v>
      </c>
      <c r="D1163" s="361"/>
      <c r="E1163" s="361"/>
      <c r="F1163" s="342"/>
      <c r="G1163" s="371"/>
    </row>
    <row r="1164" spans="1:7" s="67" customFormat="1">
      <c r="A1164" s="367"/>
      <c r="B1164" s="367"/>
      <c r="C1164" s="264" t="s">
        <v>150</v>
      </c>
      <c r="D1164" s="361"/>
      <c r="E1164" s="361"/>
      <c r="F1164" s="342"/>
      <c r="G1164" s="267"/>
    </row>
    <row r="1165" spans="1:7" s="67" customFormat="1">
      <c r="A1165" s="368"/>
      <c r="B1165" s="368"/>
      <c r="C1165" s="264" t="s">
        <v>167</v>
      </c>
      <c r="D1165" s="362"/>
      <c r="E1165" s="362"/>
      <c r="F1165" s="342"/>
      <c r="G1165" s="267"/>
    </row>
    <row r="1166" spans="1:7" s="67" customFormat="1">
      <c r="A1166" s="366" t="s">
        <v>803</v>
      </c>
      <c r="B1166" s="366" t="s">
        <v>803</v>
      </c>
      <c r="C1166" s="264" t="s">
        <v>66</v>
      </c>
      <c r="D1166" s="360">
        <f>E1166</f>
        <v>142.34199999999998</v>
      </c>
      <c r="E1166" s="360">
        <f>F1166+F1167+F1168+F1169+F1170</f>
        <v>142.34199999999998</v>
      </c>
      <c r="F1166" s="342">
        <v>132.05699999999999</v>
      </c>
      <c r="G1166" s="369" t="s">
        <v>770</v>
      </c>
    </row>
    <row r="1167" spans="1:7" s="67" customFormat="1">
      <c r="A1167" s="367"/>
      <c r="B1167" s="367"/>
      <c r="C1167" s="264" t="s">
        <v>771</v>
      </c>
      <c r="D1167" s="361"/>
      <c r="E1167" s="361"/>
      <c r="F1167" s="342">
        <v>10.285</v>
      </c>
      <c r="G1167" s="370"/>
    </row>
    <row r="1168" spans="1:7" s="67" customFormat="1">
      <c r="A1168" s="367"/>
      <c r="B1168" s="367"/>
      <c r="C1168" s="264" t="s">
        <v>275</v>
      </c>
      <c r="D1168" s="361"/>
      <c r="E1168" s="361"/>
      <c r="F1168" s="342"/>
      <c r="G1168" s="371"/>
    </row>
    <row r="1169" spans="1:7" s="67" customFormat="1">
      <c r="A1169" s="367"/>
      <c r="B1169" s="367"/>
      <c r="C1169" s="264" t="s">
        <v>150</v>
      </c>
      <c r="D1169" s="361"/>
      <c r="E1169" s="361"/>
      <c r="F1169" s="342"/>
      <c r="G1169" s="267"/>
    </row>
    <row r="1170" spans="1:7" s="67" customFormat="1">
      <c r="A1170" s="368"/>
      <c r="B1170" s="368"/>
      <c r="C1170" s="264" t="s">
        <v>167</v>
      </c>
      <c r="D1170" s="362"/>
      <c r="E1170" s="362"/>
      <c r="F1170" s="342"/>
      <c r="G1170" s="267"/>
    </row>
    <row r="1171" spans="1:7" s="67" customFormat="1">
      <c r="A1171" s="366" t="s">
        <v>804</v>
      </c>
      <c r="B1171" s="366" t="s">
        <v>804</v>
      </c>
      <c r="C1171" s="264" t="s">
        <v>66</v>
      </c>
      <c r="D1171" s="360">
        <f>E1171+0.001</f>
        <v>1467.8509999999999</v>
      </c>
      <c r="E1171" s="360">
        <f>F1171+F1172+F1173+F1174+F1175</f>
        <v>1467.85</v>
      </c>
      <c r="F1171" s="342">
        <v>77.850999999999999</v>
      </c>
      <c r="G1171" s="369" t="s">
        <v>770</v>
      </c>
    </row>
    <row r="1172" spans="1:7" s="67" customFormat="1">
      <c r="A1172" s="367"/>
      <c r="B1172" s="367"/>
      <c r="C1172" s="264" t="s">
        <v>771</v>
      </c>
      <c r="D1172" s="361"/>
      <c r="E1172" s="361"/>
      <c r="F1172" s="342">
        <v>8.3849999999999998</v>
      </c>
      <c r="G1172" s="370"/>
    </row>
    <row r="1173" spans="1:7" s="67" customFormat="1">
      <c r="A1173" s="367"/>
      <c r="B1173" s="367"/>
      <c r="C1173" s="264" t="s">
        <v>275</v>
      </c>
      <c r="D1173" s="361"/>
      <c r="E1173" s="361"/>
      <c r="F1173" s="342">
        <v>10.8</v>
      </c>
      <c r="G1173" s="371"/>
    </row>
    <row r="1174" spans="1:7" s="67" customFormat="1">
      <c r="A1174" s="367"/>
      <c r="B1174" s="367"/>
      <c r="C1174" s="264" t="s">
        <v>150</v>
      </c>
      <c r="D1174" s="361"/>
      <c r="E1174" s="361"/>
      <c r="F1174" s="342">
        <v>22.117000000000001</v>
      </c>
      <c r="G1174" s="267" t="s">
        <v>774</v>
      </c>
    </row>
    <row r="1175" spans="1:7" s="67" customFormat="1" ht="31.5">
      <c r="A1175" s="368"/>
      <c r="B1175" s="368"/>
      <c r="C1175" s="264" t="s">
        <v>167</v>
      </c>
      <c r="D1175" s="362"/>
      <c r="E1175" s="362"/>
      <c r="F1175" s="342">
        <v>1348.6969999999999</v>
      </c>
      <c r="G1175" s="267" t="s">
        <v>773</v>
      </c>
    </row>
    <row r="1176" spans="1:7" s="67" customFormat="1">
      <c r="A1176" s="366" t="s">
        <v>805</v>
      </c>
      <c r="B1176" s="366" t="s">
        <v>805</v>
      </c>
      <c r="C1176" s="264" t="s">
        <v>66</v>
      </c>
      <c r="D1176" s="360">
        <f>E1176</f>
        <v>84.902000000000001</v>
      </c>
      <c r="E1176" s="360">
        <f>F1176+F1177+F1178+F1179+F1180</f>
        <v>84.902000000000001</v>
      </c>
      <c r="F1176" s="342">
        <v>75</v>
      </c>
      <c r="G1176" s="369" t="s">
        <v>806</v>
      </c>
    </row>
    <row r="1177" spans="1:7" s="67" customFormat="1">
      <c r="A1177" s="367"/>
      <c r="B1177" s="367"/>
      <c r="C1177" s="264" t="s">
        <v>771</v>
      </c>
      <c r="D1177" s="361"/>
      <c r="E1177" s="361"/>
      <c r="F1177" s="342">
        <v>9.9019999999999992</v>
      </c>
      <c r="G1177" s="370"/>
    </row>
    <row r="1178" spans="1:7" s="67" customFormat="1">
      <c r="A1178" s="367"/>
      <c r="B1178" s="367"/>
      <c r="C1178" s="264" t="s">
        <v>275</v>
      </c>
      <c r="D1178" s="361"/>
      <c r="E1178" s="361"/>
      <c r="F1178" s="342"/>
      <c r="G1178" s="371"/>
    </row>
    <row r="1179" spans="1:7" s="67" customFormat="1">
      <c r="A1179" s="367"/>
      <c r="B1179" s="367"/>
      <c r="C1179" s="264" t="s">
        <v>150</v>
      </c>
      <c r="D1179" s="361"/>
      <c r="E1179" s="361"/>
      <c r="F1179" s="342"/>
      <c r="G1179" s="267"/>
    </row>
    <row r="1180" spans="1:7" s="67" customFormat="1">
      <c r="A1180" s="368"/>
      <c r="B1180" s="368"/>
      <c r="C1180" s="264" t="s">
        <v>167</v>
      </c>
      <c r="D1180" s="362"/>
      <c r="E1180" s="362"/>
      <c r="F1180" s="342"/>
      <c r="G1180" s="267"/>
    </row>
    <row r="1181" spans="1:7" s="67" customFormat="1">
      <c r="A1181" s="366" t="s">
        <v>807</v>
      </c>
      <c r="B1181" s="366" t="s">
        <v>807</v>
      </c>
      <c r="C1181" s="264" t="s">
        <v>66</v>
      </c>
      <c r="D1181" s="360">
        <f>E1181</f>
        <v>74.400000000000006</v>
      </c>
      <c r="E1181" s="360">
        <f>F1181+F1182+F1183+F1184+F1185</f>
        <v>74.400000000000006</v>
      </c>
      <c r="F1181" s="342">
        <v>74.400000000000006</v>
      </c>
      <c r="G1181" s="369" t="s">
        <v>787</v>
      </c>
    </row>
    <row r="1182" spans="1:7" s="67" customFormat="1">
      <c r="A1182" s="367"/>
      <c r="B1182" s="367"/>
      <c r="C1182" s="264" t="s">
        <v>771</v>
      </c>
      <c r="D1182" s="361"/>
      <c r="E1182" s="361"/>
      <c r="F1182" s="342"/>
      <c r="G1182" s="370"/>
    </row>
    <row r="1183" spans="1:7" s="67" customFormat="1">
      <c r="A1183" s="367"/>
      <c r="B1183" s="367"/>
      <c r="C1183" s="264" t="s">
        <v>275</v>
      </c>
      <c r="D1183" s="361"/>
      <c r="E1183" s="361"/>
      <c r="F1183" s="342"/>
      <c r="G1183" s="371"/>
    </row>
    <row r="1184" spans="1:7" s="67" customFormat="1">
      <c r="A1184" s="367"/>
      <c r="B1184" s="367"/>
      <c r="C1184" s="264" t="s">
        <v>150</v>
      </c>
      <c r="D1184" s="361"/>
      <c r="E1184" s="361"/>
      <c r="F1184" s="342"/>
      <c r="G1184" s="267"/>
    </row>
    <row r="1185" spans="1:7" s="67" customFormat="1">
      <c r="A1185" s="368"/>
      <c r="B1185" s="368"/>
      <c r="C1185" s="264" t="s">
        <v>167</v>
      </c>
      <c r="D1185" s="362"/>
      <c r="E1185" s="362"/>
      <c r="F1185" s="342"/>
      <c r="G1185" s="267"/>
    </row>
    <row r="1186" spans="1:7" s="67" customFormat="1">
      <c r="A1186" s="366" t="s">
        <v>808</v>
      </c>
      <c r="B1186" s="366" t="s">
        <v>808</v>
      </c>
      <c r="C1186" s="264" t="s">
        <v>66</v>
      </c>
      <c r="D1186" s="360">
        <f>E1186</f>
        <v>75.557000000000002</v>
      </c>
      <c r="E1186" s="360">
        <f>F1186+F1187+F1188+F1189+F1190</f>
        <v>75.557000000000002</v>
      </c>
      <c r="F1186" s="342">
        <v>75.557000000000002</v>
      </c>
      <c r="G1186" s="369" t="s">
        <v>787</v>
      </c>
    </row>
    <row r="1187" spans="1:7" s="67" customFormat="1">
      <c r="A1187" s="367"/>
      <c r="B1187" s="367"/>
      <c r="C1187" s="264" t="s">
        <v>771</v>
      </c>
      <c r="D1187" s="361"/>
      <c r="E1187" s="361"/>
      <c r="F1187" s="342"/>
      <c r="G1187" s="370"/>
    </row>
    <row r="1188" spans="1:7" s="67" customFormat="1">
      <c r="A1188" s="367"/>
      <c r="B1188" s="367"/>
      <c r="C1188" s="264" t="s">
        <v>275</v>
      </c>
      <c r="D1188" s="361"/>
      <c r="E1188" s="361"/>
      <c r="F1188" s="342"/>
      <c r="G1188" s="371"/>
    </row>
    <row r="1189" spans="1:7" s="67" customFormat="1">
      <c r="A1189" s="367"/>
      <c r="B1189" s="367"/>
      <c r="C1189" s="264" t="s">
        <v>150</v>
      </c>
      <c r="D1189" s="361"/>
      <c r="E1189" s="361"/>
      <c r="F1189" s="342"/>
      <c r="G1189" s="267"/>
    </row>
    <row r="1190" spans="1:7" s="67" customFormat="1">
      <c r="A1190" s="368"/>
      <c r="B1190" s="368"/>
      <c r="C1190" s="264" t="s">
        <v>167</v>
      </c>
      <c r="D1190" s="362"/>
      <c r="E1190" s="362"/>
      <c r="F1190" s="342"/>
      <c r="G1190" s="267"/>
    </row>
    <row r="1191" spans="1:7" s="67" customFormat="1">
      <c r="A1191" s="366" t="s">
        <v>809</v>
      </c>
      <c r="B1191" s="366" t="s">
        <v>809</v>
      </c>
      <c r="C1191" s="264" t="s">
        <v>66</v>
      </c>
      <c r="D1191" s="360">
        <f>E1191</f>
        <v>93.206999999999994</v>
      </c>
      <c r="E1191" s="360">
        <f>F1191+F1192+F1193+F1194+F1195</f>
        <v>93.206999999999994</v>
      </c>
      <c r="F1191" s="342">
        <v>93.206999999999994</v>
      </c>
      <c r="G1191" s="369" t="s">
        <v>787</v>
      </c>
    </row>
    <row r="1192" spans="1:7" s="67" customFormat="1">
      <c r="A1192" s="367"/>
      <c r="B1192" s="367"/>
      <c r="C1192" s="264" t="s">
        <v>771</v>
      </c>
      <c r="D1192" s="361"/>
      <c r="E1192" s="361"/>
      <c r="F1192" s="342"/>
      <c r="G1192" s="370"/>
    </row>
    <row r="1193" spans="1:7" s="67" customFormat="1">
      <c r="A1193" s="367"/>
      <c r="B1193" s="367"/>
      <c r="C1193" s="264" t="s">
        <v>275</v>
      </c>
      <c r="D1193" s="361"/>
      <c r="E1193" s="361"/>
      <c r="F1193" s="342"/>
      <c r="G1193" s="371"/>
    </row>
    <row r="1194" spans="1:7" s="67" customFormat="1">
      <c r="A1194" s="367"/>
      <c r="B1194" s="367"/>
      <c r="C1194" s="264" t="s">
        <v>150</v>
      </c>
      <c r="D1194" s="361"/>
      <c r="E1194" s="361"/>
      <c r="F1194" s="342"/>
      <c r="G1194" s="267"/>
    </row>
    <row r="1195" spans="1:7" s="67" customFormat="1">
      <c r="A1195" s="368"/>
      <c r="B1195" s="368"/>
      <c r="C1195" s="264" t="s">
        <v>167</v>
      </c>
      <c r="D1195" s="362"/>
      <c r="E1195" s="362"/>
      <c r="F1195" s="342"/>
      <c r="G1195" s="267"/>
    </row>
    <row r="1196" spans="1:7" s="67" customFormat="1">
      <c r="A1196" s="366" t="s">
        <v>810</v>
      </c>
      <c r="B1196" s="366" t="s">
        <v>810</v>
      </c>
      <c r="C1196" s="264" t="s">
        <v>66</v>
      </c>
      <c r="D1196" s="360">
        <f>E1196</f>
        <v>93.325000000000003</v>
      </c>
      <c r="E1196" s="360">
        <f>F1196+F1197+F1198+F1199+F1200</f>
        <v>93.325000000000003</v>
      </c>
      <c r="F1196" s="342">
        <v>93.325000000000003</v>
      </c>
      <c r="G1196" s="369" t="s">
        <v>787</v>
      </c>
    </row>
    <row r="1197" spans="1:7" s="67" customFormat="1">
      <c r="A1197" s="367"/>
      <c r="B1197" s="367"/>
      <c r="C1197" s="264" t="s">
        <v>771</v>
      </c>
      <c r="D1197" s="361"/>
      <c r="E1197" s="361"/>
      <c r="F1197" s="342"/>
      <c r="G1197" s="370"/>
    </row>
    <row r="1198" spans="1:7" s="67" customFormat="1">
      <c r="A1198" s="367"/>
      <c r="B1198" s="367"/>
      <c r="C1198" s="264" t="s">
        <v>275</v>
      </c>
      <c r="D1198" s="361"/>
      <c r="E1198" s="361"/>
      <c r="F1198" s="342"/>
      <c r="G1198" s="371"/>
    </row>
    <row r="1199" spans="1:7" s="67" customFormat="1">
      <c r="A1199" s="367"/>
      <c r="B1199" s="367"/>
      <c r="C1199" s="264" t="s">
        <v>150</v>
      </c>
      <c r="D1199" s="361"/>
      <c r="E1199" s="361"/>
      <c r="F1199" s="342"/>
      <c r="G1199" s="267"/>
    </row>
    <row r="1200" spans="1:7" s="67" customFormat="1">
      <c r="A1200" s="368"/>
      <c r="B1200" s="368"/>
      <c r="C1200" s="264" t="s">
        <v>167</v>
      </c>
      <c r="D1200" s="362"/>
      <c r="E1200" s="362"/>
      <c r="F1200" s="342"/>
      <c r="G1200" s="267"/>
    </row>
    <row r="1201" spans="1:7" s="67" customFormat="1">
      <c r="A1201" s="366" t="s">
        <v>811</v>
      </c>
      <c r="B1201" s="366" t="s">
        <v>811</v>
      </c>
      <c r="C1201" s="264" t="s">
        <v>66</v>
      </c>
      <c r="D1201" s="360">
        <f>E1201</f>
        <v>93.697999999999993</v>
      </c>
      <c r="E1201" s="360">
        <f>F1201+F1202+F1203+F1204+F1205</f>
        <v>93.697999999999993</v>
      </c>
      <c r="F1201" s="342">
        <v>93.697999999999993</v>
      </c>
      <c r="G1201" s="369" t="s">
        <v>787</v>
      </c>
    </row>
    <row r="1202" spans="1:7" s="67" customFormat="1">
      <c r="A1202" s="367"/>
      <c r="B1202" s="367"/>
      <c r="C1202" s="264" t="s">
        <v>771</v>
      </c>
      <c r="D1202" s="361"/>
      <c r="E1202" s="361"/>
      <c r="F1202" s="342"/>
      <c r="G1202" s="370"/>
    </row>
    <row r="1203" spans="1:7" s="67" customFormat="1">
      <c r="A1203" s="367"/>
      <c r="B1203" s="367"/>
      <c r="C1203" s="264" t="s">
        <v>275</v>
      </c>
      <c r="D1203" s="361"/>
      <c r="E1203" s="361"/>
      <c r="F1203" s="342"/>
      <c r="G1203" s="371"/>
    </row>
    <row r="1204" spans="1:7" s="67" customFormat="1">
      <c r="A1204" s="367"/>
      <c r="B1204" s="367"/>
      <c r="C1204" s="264" t="s">
        <v>150</v>
      </c>
      <c r="D1204" s="361"/>
      <c r="E1204" s="361"/>
      <c r="F1204" s="342"/>
      <c r="G1204" s="267"/>
    </row>
    <row r="1205" spans="1:7" s="67" customFormat="1">
      <c r="A1205" s="368"/>
      <c r="B1205" s="368"/>
      <c r="C1205" s="264" t="s">
        <v>167</v>
      </c>
      <c r="D1205" s="362"/>
      <c r="E1205" s="362"/>
      <c r="F1205" s="342"/>
      <c r="G1205" s="267"/>
    </row>
    <row r="1206" spans="1:7" s="67" customFormat="1">
      <c r="A1206" s="366" t="s">
        <v>812</v>
      </c>
      <c r="B1206" s="366" t="s">
        <v>812</v>
      </c>
      <c r="C1206" s="264" t="s">
        <v>66</v>
      </c>
      <c r="D1206" s="360">
        <f>E1206</f>
        <v>93.94</v>
      </c>
      <c r="E1206" s="360">
        <f>F1206+F1207+F1208+F1209+F1210</f>
        <v>93.94</v>
      </c>
      <c r="F1206" s="342">
        <v>93.94</v>
      </c>
      <c r="G1206" s="369" t="s">
        <v>787</v>
      </c>
    </row>
    <row r="1207" spans="1:7" s="67" customFormat="1">
      <c r="A1207" s="367"/>
      <c r="B1207" s="367"/>
      <c r="C1207" s="264" t="s">
        <v>771</v>
      </c>
      <c r="D1207" s="361"/>
      <c r="E1207" s="361"/>
      <c r="F1207" s="342"/>
      <c r="G1207" s="370"/>
    </row>
    <row r="1208" spans="1:7" s="67" customFormat="1">
      <c r="A1208" s="367"/>
      <c r="B1208" s="367"/>
      <c r="C1208" s="264" t="s">
        <v>275</v>
      </c>
      <c r="D1208" s="361"/>
      <c r="E1208" s="361"/>
      <c r="F1208" s="342"/>
      <c r="G1208" s="371"/>
    </row>
    <row r="1209" spans="1:7" s="67" customFormat="1">
      <c r="A1209" s="367"/>
      <c r="B1209" s="367"/>
      <c r="C1209" s="264" t="s">
        <v>150</v>
      </c>
      <c r="D1209" s="361"/>
      <c r="E1209" s="361"/>
      <c r="F1209" s="342"/>
      <c r="G1209" s="267"/>
    </row>
    <row r="1210" spans="1:7" s="67" customFormat="1">
      <c r="A1210" s="368"/>
      <c r="B1210" s="368"/>
      <c r="C1210" s="264" t="s">
        <v>167</v>
      </c>
      <c r="D1210" s="362"/>
      <c r="E1210" s="362"/>
      <c r="F1210" s="342"/>
      <c r="G1210" s="267"/>
    </row>
    <row r="1211" spans="1:7" s="67" customFormat="1">
      <c r="A1211" s="272" t="s">
        <v>166</v>
      </c>
      <c r="B1211" s="343"/>
      <c r="C1211" s="264"/>
      <c r="D1211" s="344">
        <f>SUM(D1096:D1210)</f>
        <v>16315.000430000002</v>
      </c>
      <c r="E1211" s="344">
        <f>SUM(E1096:E1210)</f>
        <v>16314.999430000002</v>
      </c>
      <c r="F1211" s="344">
        <f>SUM(F1096:F1210)</f>
        <v>16314.999430000002</v>
      </c>
      <c r="G1211" s="274"/>
    </row>
    <row r="1212" spans="1:7" s="67" customFormat="1">
      <c r="A1212" s="357" t="s">
        <v>813</v>
      </c>
      <c r="B1212" s="357" t="s">
        <v>814</v>
      </c>
      <c r="C1212" s="264" t="s">
        <v>66</v>
      </c>
      <c r="D1212" s="360">
        <v>479.75</v>
      </c>
      <c r="E1212" s="360">
        <f>F1212+F1213+F1214+F1215+F1216</f>
        <v>413.17200000000003</v>
      </c>
      <c r="F1212" s="338">
        <v>10.526</v>
      </c>
      <c r="G1212" s="363" t="s">
        <v>815</v>
      </c>
    </row>
    <row r="1213" spans="1:7" s="67" customFormat="1">
      <c r="A1213" s="358"/>
      <c r="B1213" s="358"/>
      <c r="C1213" s="264" t="s">
        <v>771</v>
      </c>
      <c r="D1213" s="361"/>
      <c r="E1213" s="361"/>
      <c r="F1213" s="338">
        <v>2.0190000000000001</v>
      </c>
      <c r="G1213" s="364"/>
    </row>
    <row r="1214" spans="1:7" s="67" customFormat="1">
      <c r="A1214" s="358"/>
      <c r="B1214" s="358"/>
      <c r="C1214" s="264" t="s">
        <v>275</v>
      </c>
      <c r="D1214" s="361"/>
      <c r="E1214" s="361"/>
      <c r="F1214" s="338">
        <v>1.62</v>
      </c>
      <c r="G1214" s="365"/>
    </row>
    <row r="1215" spans="1:7" s="67" customFormat="1">
      <c r="A1215" s="358"/>
      <c r="B1215" s="358"/>
      <c r="C1215" s="264" t="s">
        <v>150</v>
      </c>
      <c r="D1215" s="361"/>
      <c r="E1215" s="361"/>
      <c r="F1215" s="338">
        <v>7.2160000000000002</v>
      </c>
      <c r="G1215" s="274" t="s">
        <v>816</v>
      </c>
    </row>
    <row r="1216" spans="1:7" s="67" customFormat="1">
      <c r="A1216" s="359"/>
      <c r="B1216" s="359"/>
      <c r="C1216" s="264" t="s">
        <v>167</v>
      </c>
      <c r="D1216" s="362"/>
      <c r="E1216" s="362"/>
      <c r="F1216" s="338">
        <v>391.791</v>
      </c>
      <c r="G1216" s="274" t="s">
        <v>817</v>
      </c>
    </row>
    <row r="1217" spans="1:7" s="67" customFormat="1">
      <c r="A1217" s="272" t="s">
        <v>166</v>
      </c>
      <c r="B1217" s="268"/>
      <c r="C1217" s="264"/>
      <c r="D1217" s="344">
        <f>D1212</f>
        <v>479.75</v>
      </c>
      <c r="E1217" s="344">
        <f>E1212</f>
        <v>413.17200000000003</v>
      </c>
      <c r="F1217" s="338">
        <f>F1212+F1213+F1214+F1215+F1216</f>
        <v>413.17200000000003</v>
      </c>
      <c r="G1217" s="274"/>
    </row>
    <row r="1218" spans="1:7" s="67" customFormat="1">
      <c r="A1218" s="357" t="s">
        <v>818</v>
      </c>
      <c r="B1218" s="357" t="s">
        <v>818</v>
      </c>
      <c r="C1218" s="264" t="s">
        <v>66</v>
      </c>
      <c r="D1218" s="360">
        <f>662.536+21.6+2.4</f>
        <v>686.53599999999994</v>
      </c>
      <c r="E1218" s="360">
        <f>F1218+F1219+F1220+F1221+F1222</f>
        <v>604.49900000000002</v>
      </c>
      <c r="F1218" s="338">
        <v>21.6</v>
      </c>
      <c r="G1218" s="363" t="s">
        <v>819</v>
      </c>
    </row>
    <row r="1219" spans="1:7" s="67" customFormat="1">
      <c r="A1219" s="358"/>
      <c r="B1219" s="358"/>
      <c r="C1219" s="264" t="s">
        <v>771</v>
      </c>
      <c r="D1219" s="361"/>
      <c r="E1219" s="361"/>
      <c r="F1219" s="338"/>
      <c r="G1219" s="364"/>
    </row>
    <row r="1220" spans="1:7" s="67" customFormat="1">
      <c r="A1220" s="358"/>
      <c r="B1220" s="358"/>
      <c r="C1220" s="264" t="s">
        <v>275</v>
      </c>
      <c r="D1220" s="361"/>
      <c r="E1220" s="361"/>
      <c r="F1220" s="338">
        <v>2.16</v>
      </c>
      <c r="G1220" s="365"/>
    </row>
    <row r="1221" spans="1:7" s="67" customFormat="1">
      <c r="A1221" s="358"/>
      <c r="B1221" s="358"/>
      <c r="C1221" s="264" t="s">
        <v>150</v>
      </c>
      <c r="D1221" s="361"/>
      <c r="E1221" s="361"/>
      <c r="F1221" s="338">
        <v>11.163</v>
      </c>
      <c r="G1221" s="274" t="s">
        <v>227</v>
      </c>
    </row>
    <row r="1222" spans="1:7" s="67" customFormat="1" ht="31.5">
      <c r="A1222" s="359"/>
      <c r="B1222" s="359"/>
      <c r="C1222" s="264" t="s">
        <v>167</v>
      </c>
      <c r="D1222" s="362"/>
      <c r="E1222" s="362"/>
      <c r="F1222" s="338">
        <v>569.57600000000002</v>
      </c>
      <c r="G1222" s="274" t="s">
        <v>820</v>
      </c>
    </row>
    <row r="1223" spans="1:7" s="67" customFormat="1">
      <c r="A1223" s="357" t="s">
        <v>821</v>
      </c>
      <c r="B1223" s="357" t="s">
        <v>821</v>
      </c>
      <c r="C1223" s="264" t="s">
        <v>66</v>
      </c>
      <c r="D1223" s="360">
        <f>206.088+21.6+2.4</f>
        <v>230.08799999999999</v>
      </c>
      <c r="E1223" s="360">
        <f>F1223+F1224+F1225+F1226+F1227</f>
        <v>144.09800000000001</v>
      </c>
      <c r="F1223" s="338">
        <v>21.6</v>
      </c>
      <c r="G1223" s="363" t="s">
        <v>819</v>
      </c>
    </row>
    <row r="1224" spans="1:7" s="67" customFormat="1">
      <c r="A1224" s="358"/>
      <c r="B1224" s="358"/>
      <c r="C1224" s="264" t="s">
        <v>771</v>
      </c>
      <c r="D1224" s="361"/>
      <c r="E1224" s="361"/>
      <c r="F1224" s="338"/>
      <c r="G1224" s="364"/>
    </row>
    <row r="1225" spans="1:7" s="67" customFormat="1">
      <c r="A1225" s="358"/>
      <c r="B1225" s="358"/>
      <c r="C1225" s="264" t="s">
        <v>275</v>
      </c>
      <c r="D1225" s="361"/>
      <c r="E1225" s="361"/>
      <c r="F1225" s="338">
        <v>2.16</v>
      </c>
      <c r="G1225" s="365"/>
    </row>
    <row r="1226" spans="1:7" s="67" customFormat="1">
      <c r="A1226" s="358"/>
      <c r="B1226" s="358"/>
      <c r="C1226" s="264" t="s">
        <v>150</v>
      </c>
      <c r="D1226" s="361"/>
      <c r="E1226" s="361"/>
      <c r="F1226" s="338">
        <v>2.3159999999999998</v>
      </c>
      <c r="G1226" s="274" t="s">
        <v>227</v>
      </c>
    </row>
    <row r="1227" spans="1:7" s="67" customFormat="1">
      <c r="A1227" s="359"/>
      <c r="B1227" s="359"/>
      <c r="C1227" s="264" t="s">
        <v>167</v>
      </c>
      <c r="D1227" s="362"/>
      <c r="E1227" s="362"/>
      <c r="F1227" s="338">
        <v>118.02200000000001</v>
      </c>
      <c r="G1227" s="274" t="s">
        <v>822</v>
      </c>
    </row>
    <row r="1228" spans="1:7" s="67" customFormat="1">
      <c r="A1228" s="357" t="s">
        <v>823</v>
      </c>
      <c r="B1228" s="357" t="s">
        <v>823</v>
      </c>
      <c r="C1228" s="264" t="s">
        <v>66</v>
      </c>
      <c r="D1228" s="360">
        <f>330.954+21.6+2.4</f>
        <v>354.95400000000001</v>
      </c>
      <c r="E1228" s="360">
        <f>F1228+F1229+F1230+F1231+F1232</f>
        <v>243.203</v>
      </c>
      <c r="F1228" s="338">
        <v>21.6</v>
      </c>
      <c r="G1228" s="363" t="s">
        <v>819</v>
      </c>
    </row>
    <row r="1229" spans="1:7" s="67" customFormat="1">
      <c r="A1229" s="358"/>
      <c r="B1229" s="358"/>
      <c r="C1229" s="264" t="s">
        <v>771</v>
      </c>
      <c r="D1229" s="361"/>
      <c r="E1229" s="361"/>
      <c r="F1229" s="338"/>
      <c r="G1229" s="364"/>
    </row>
    <row r="1230" spans="1:7" s="67" customFormat="1">
      <c r="A1230" s="358"/>
      <c r="B1230" s="358"/>
      <c r="C1230" s="264" t="s">
        <v>275</v>
      </c>
      <c r="D1230" s="361"/>
      <c r="E1230" s="361"/>
      <c r="F1230" s="338">
        <v>2.16</v>
      </c>
      <c r="G1230" s="365"/>
    </row>
    <row r="1231" spans="1:7" s="67" customFormat="1">
      <c r="A1231" s="358"/>
      <c r="B1231" s="358"/>
      <c r="C1231" s="264" t="s">
        <v>150</v>
      </c>
      <c r="D1231" s="361"/>
      <c r="E1231" s="361"/>
      <c r="F1231" s="338">
        <v>4.2130000000000001</v>
      </c>
      <c r="G1231" s="274" t="s">
        <v>227</v>
      </c>
    </row>
    <row r="1232" spans="1:7" s="67" customFormat="1" ht="31.5">
      <c r="A1232" s="359"/>
      <c r="B1232" s="359"/>
      <c r="C1232" s="264" t="s">
        <v>167</v>
      </c>
      <c r="D1232" s="362"/>
      <c r="E1232" s="362"/>
      <c r="F1232" s="338">
        <v>215.23</v>
      </c>
      <c r="G1232" s="274" t="s">
        <v>824</v>
      </c>
    </row>
    <row r="1233" spans="1:7" s="67" customFormat="1">
      <c r="A1233" s="357" t="s">
        <v>825</v>
      </c>
      <c r="B1233" s="357" t="s">
        <v>825</v>
      </c>
      <c r="C1233" s="264" t="s">
        <v>66</v>
      </c>
      <c r="D1233" s="360">
        <f>210.121+21.6+2.4</f>
        <v>234.12100000000001</v>
      </c>
      <c r="E1233" s="360">
        <f>F1233+F1234+F1235+F1236+F1237</f>
        <v>220.27799999999999</v>
      </c>
      <c r="F1233" s="338">
        <v>21.6</v>
      </c>
      <c r="G1233" s="363" t="s">
        <v>819</v>
      </c>
    </row>
    <row r="1234" spans="1:7" s="67" customFormat="1">
      <c r="A1234" s="358"/>
      <c r="B1234" s="358"/>
      <c r="C1234" s="264" t="s">
        <v>771</v>
      </c>
      <c r="D1234" s="361"/>
      <c r="E1234" s="361"/>
      <c r="F1234" s="338"/>
      <c r="G1234" s="364"/>
    </row>
    <row r="1235" spans="1:7" s="67" customFormat="1">
      <c r="A1235" s="358"/>
      <c r="B1235" s="358"/>
      <c r="C1235" s="264" t="s">
        <v>275</v>
      </c>
      <c r="D1235" s="361"/>
      <c r="E1235" s="361"/>
      <c r="F1235" s="338">
        <v>2.16</v>
      </c>
      <c r="G1235" s="365"/>
    </row>
    <row r="1236" spans="1:7" s="67" customFormat="1">
      <c r="A1236" s="358"/>
      <c r="B1236" s="358"/>
      <c r="C1236" s="264" t="s">
        <v>150</v>
      </c>
      <c r="D1236" s="361"/>
      <c r="E1236" s="361"/>
      <c r="F1236" s="338">
        <v>3.774</v>
      </c>
      <c r="G1236" s="274" t="s">
        <v>227</v>
      </c>
    </row>
    <row r="1237" spans="1:7" s="67" customFormat="1" ht="31.5">
      <c r="A1237" s="359"/>
      <c r="B1237" s="359"/>
      <c r="C1237" s="264" t="s">
        <v>167</v>
      </c>
      <c r="D1237" s="362"/>
      <c r="E1237" s="362"/>
      <c r="F1237" s="338">
        <v>192.744</v>
      </c>
      <c r="G1237" s="274" t="s">
        <v>826</v>
      </c>
    </row>
    <row r="1238" spans="1:7" s="67" customFormat="1">
      <c r="A1238" s="272" t="s">
        <v>166</v>
      </c>
      <c r="B1238" s="273"/>
      <c r="C1238" s="264"/>
      <c r="D1238" s="345">
        <f>D1218+D1223+D1228+D1233</f>
        <v>1505.6990000000001</v>
      </c>
      <c r="E1238" s="345">
        <f>E1218+E1223+E1228+E1233</f>
        <v>1212.078</v>
      </c>
      <c r="F1238" s="345">
        <f>SUM(F1218:F1237)</f>
        <v>1212.078</v>
      </c>
      <c r="G1238" s="274"/>
    </row>
    <row r="1239" spans="1:7" s="67" customFormat="1" ht="63">
      <c r="A1239" s="268" t="s">
        <v>827</v>
      </c>
      <c r="B1239" s="268" t="s">
        <v>827</v>
      </c>
      <c r="C1239" s="264" t="s">
        <v>66</v>
      </c>
      <c r="D1239" s="346">
        <v>40.4</v>
      </c>
      <c r="E1239" s="346">
        <v>33.091000000000001</v>
      </c>
      <c r="F1239" s="338">
        <v>33.091000000000001</v>
      </c>
      <c r="G1239" s="274" t="s">
        <v>828</v>
      </c>
    </row>
    <row r="1240" spans="1:7" s="67" customFormat="1">
      <c r="A1240" s="272" t="s">
        <v>166</v>
      </c>
      <c r="B1240" s="268"/>
      <c r="C1240" s="264"/>
      <c r="D1240" s="344">
        <f>D1239</f>
        <v>40.4</v>
      </c>
      <c r="E1240" s="344">
        <f>E1239</f>
        <v>33.091000000000001</v>
      </c>
      <c r="F1240" s="344">
        <f>F1239</f>
        <v>33.091000000000001</v>
      </c>
      <c r="G1240" s="274"/>
    </row>
    <row r="1241" spans="1:7" s="67" customFormat="1" ht="63">
      <c r="A1241" s="268" t="s">
        <v>829</v>
      </c>
      <c r="B1241" s="268" t="s">
        <v>829</v>
      </c>
      <c r="C1241" s="264"/>
      <c r="D1241" s="346">
        <v>25.352</v>
      </c>
      <c r="E1241" s="346">
        <v>25.352</v>
      </c>
      <c r="F1241" s="346">
        <v>25.352</v>
      </c>
      <c r="G1241" s="274" t="s">
        <v>781</v>
      </c>
    </row>
    <row r="1242" spans="1:7" s="67" customFormat="1">
      <c r="A1242" s="272" t="s">
        <v>166</v>
      </c>
      <c r="B1242" s="268"/>
      <c r="C1242" s="264"/>
      <c r="D1242" s="344">
        <f>D1241</f>
        <v>25.352</v>
      </c>
      <c r="E1242" s="344">
        <f>E1241</f>
        <v>25.352</v>
      </c>
      <c r="F1242" s="344">
        <f>F1241</f>
        <v>25.352</v>
      </c>
      <c r="G1242" s="274"/>
    </row>
    <row r="1243" spans="1:7" s="67" customFormat="1">
      <c r="A1243" s="272"/>
      <c r="B1243" s="272" t="s">
        <v>1</v>
      </c>
      <c r="C1243" s="347" t="s">
        <v>6</v>
      </c>
      <c r="D1243" s="348">
        <f>D1095+D1211+D1217+D1240+D1242+D1238</f>
        <v>27158.143430000004</v>
      </c>
      <c r="E1243" s="348">
        <f>E1095+E1211+E1217+E1240+E1242+E1238</f>
        <v>26790.634430000002</v>
      </c>
      <c r="F1243" s="348">
        <f>F1095+F1211+F1217+F1240+F1242+F1238</f>
        <v>26790.634430000006</v>
      </c>
      <c r="G1243" s="349" t="s">
        <v>6</v>
      </c>
    </row>
    <row r="1244" spans="1:7" s="67" customFormat="1">
      <c r="D1244" s="350"/>
      <c r="E1244" s="350"/>
      <c r="F1244" s="350"/>
    </row>
  </sheetData>
  <customSheetViews>
    <customSheetView guid="{6273E391-AE6B-4E35-9C9C-E59C238C2634}" scale="60" showPageBreaks="1" fitToPage="1" view="pageBreakPreview">
      <pane ySplit="3" topLeftCell="A4" activePane="bottomLeft" state="frozen"/>
      <selection pane="bottomLeft" activeCell="G13" sqref="G13"/>
      <pageMargins left="0.70866141732283472" right="0.27559055118110237" top="0.31496062992125984" bottom="0.39370078740157483" header="0.31496062992125984" footer="0.31496062992125984"/>
      <pageSetup paperSize="9" scale="59" fitToHeight="100" orientation="landscape" r:id="rId1"/>
    </customSheetView>
    <customSheetView guid="{0807BC37-3C63-4F33-8764-08C0EDADAA6D}" scale="110" fitToPage="1">
      <pane ySplit="3" topLeftCell="A122" activePane="bottomLeft" state="frozen"/>
      <selection pane="bottomLeft" activeCell="J122" sqref="J122"/>
      <pageMargins left="0.70866141732283472" right="0.28000000000000003" top="0.33" bottom="0.38" header="0.31496062992125984" footer="0.31496062992125984"/>
      <pageSetup paperSize="9" scale="82" fitToHeight="20" orientation="landscape" r:id="rId2"/>
    </customSheetView>
    <customSheetView guid="{237E48EE-855D-4E22-A215-D7BA155C0632}" scale="110" fitToPage="1">
      <pane ySplit="3" topLeftCell="A104" activePane="bottomLeft" state="frozen"/>
      <selection pane="bottomLeft" activeCell="E471" sqref="E471"/>
      <pageMargins left="0.70866141732283472" right="0.28000000000000003" top="0.33" bottom="0.38" header="0.31496062992125984" footer="0.31496062992125984"/>
      <pageSetup paperSize="9" scale="82" fitToHeight="20" orientation="landscape" r:id="rId3"/>
    </customSheetView>
    <customSheetView guid="{63624039-79B7-4B53-8C9B-62AEAD1FE854}" scale="110" fitToPage="1">
      <pane ySplit="3" topLeftCell="A467" activePane="bottomLeft" state="frozen"/>
      <selection pane="bottomLeft" activeCell="E471" sqref="E471"/>
      <pageMargins left="0.70866141732283472" right="0.28000000000000003" top="0.33" bottom="0.38" header="0.31496062992125984" footer="0.31496062992125984"/>
      <pageSetup paperSize="9" scale="82" fitToHeight="20" orientation="landscape" r:id="rId4"/>
    </customSheetView>
    <customSheetView guid="{C08C5C12-FFBC-4F4C-9138-5D34ADCEB223}" scale="110" fitToPage="1">
      <pane ySplit="3" topLeftCell="A467" activePane="bottomLeft" state="frozen"/>
      <selection pane="bottomLeft" activeCell="E471" sqref="E471"/>
      <pageMargins left="0.70866141732283472" right="0.28000000000000003" top="0.33" bottom="0.38" header="0.31496062992125984" footer="0.31496062992125984"/>
      <pageSetup paperSize="9" scale="82" fitToHeight="20" orientation="landscape" r:id="rId5"/>
    </customSheetView>
    <customSheetView guid="{EED4C4C4-2768-4906-8D20-11DE2EB8B1AD}" scale="110" showPageBreaks="1" fitToPage="1">
      <pane ySplit="3" topLeftCell="A952" activePane="bottomLeft" state="frozen"/>
      <selection pane="bottomLeft" activeCell="A1090" sqref="A1090:A1094"/>
      <pageMargins left="0.70866141732283472" right="0.28000000000000003" top="0.33" bottom="0.38" header="0.31496062992125984" footer="0.31496062992125984"/>
      <pageSetup paperSize="9" scale="23" fitToHeight="20" orientation="landscape" r:id="rId6"/>
    </customSheetView>
    <customSheetView guid="{6C4C0A1E-9F55-46A5-9256-CBEA636F78CA}" scale="110" fitToPage="1">
      <pane ySplit="3" topLeftCell="A354" activePane="bottomLeft" state="frozen"/>
      <selection pane="bottomLeft" activeCell="A364" sqref="A364"/>
      <pageMargins left="0.70866141732283472" right="0.28000000000000003" top="0.33" bottom="0.38" header="0.31496062992125984" footer="0.31496062992125984"/>
      <pageSetup paperSize="9" scale="23" fitToHeight="20" orientation="landscape" r:id="rId7"/>
    </customSheetView>
    <customSheetView guid="{C431141F-117F-49C7-B3E7-D4961D1E781E}" scale="60" showPageBreaks="1" fitToPage="1" view="pageBreakPreview">
      <pane ySplit="3" topLeftCell="A4" activePane="bottomLeft" state="frozen"/>
      <selection pane="bottomLeft" activeCell="G13" sqref="G13"/>
      <pageMargins left="0.70866141732283472" right="0.27559055118110237" top="0.31496062992125984" bottom="0.39370078740157483" header="0.31496062992125984" footer="0.31496062992125984"/>
      <pageSetup paperSize="9" scale="59" fitToHeight="100" orientation="landscape" r:id="rId8"/>
    </customSheetView>
  </customSheetViews>
  <mergeCells count="401">
    <mergeCell ref="A871:A873"/>
    <mergeCell ref="B871:B873"/>
    <mergeCell ref="D871:D873"/>
    <mergeCell ref="E871:E873"/>
    <mergeCell ref="A858:A859"/>
    <mergeCell ref="B858:B859"/>
    <mergeCell ref="D858:D859"/>
    <mergeCell ref="E858:E859"/>
    <mergeCell ref="A864:A865"/>
    <mergeCell ref="B864:B865"/>
    <mergeCell ref="D864:D865"/>
    <mergeCell ref="E864:E865"/>
    <mergeCell ref="A868:A870"/>
    <mergeCell ref="B868:B870"/>
    <mergeCell ref="D868:D870"/>
    <mergeCell ref="E868:E870"/>
    <mergeCell ref="A844:A847"/>
    <mergeCell ref="B844:B847"/>
    <mergeCell ref="D844:D847"/>
    <mergeCell ref="E844:E847"/>
    <mergeCell ref="A849:A851"/>
    <mergeCell ref="B849:B851"/>
    <mergeCell ref="D849:D851"/>
    <mergeCell ref="E849:E851"/>
    <mergeCell ref="A853:A855"/>
    <mergeCell ref="B853:B855"/>
    <mergeCell ref="D853:D855"/>
    <mergeCell ref="E853:E855"/>
    <mergeCell ref="A817:A820"/>
    <mergeCell ref="B817:B820"/>
    <mergeCell ref="A828:A831"/>
    <mergeCell ref="B828:B831"/>
    <mergeCell ref="A832:A835"/>
    <mergeCell ref="B832:B835"/>
    <mergeCell ref="A836:A839"/>
    <mergeCell ref="B836:B839"/>
    <mergeCell ref="A840:A843"/>
    <mergeCell ref="B840:B843"/>
    <mergeCell ref="B789:B791"/>
    <mergeCell ref="D789:D791"/>
    <mergeCell ref="A802:A805"/>
    <mergeCell ref="B802:B805"/>
    <mergeCell ref="A806:A809"/>
    <mergeCell ref="B806:B809"/>
    <mergeCell ref="A810:A813"/>
    <mergeCell ref="B810:B813"/>
    <mergeCell ref="A814:A816"/>
    <mergeCell ref="B814:B816"/>
    <mergeCell ref="A775:A777"/>
    <mergeCell ref="B775:B777"/>
    <mergeCell ref="D775:D781"/>
    <mergeCell ref="E775:E777"/>
    <mergeCell ref="A778:A780"/>
    <mergeCell ref="A469:G469"/>
    <mergeCell ref="A765:G765"/>
    <mergeCell ref="A774:G774"/>
    <mergeCell ref="A661:G661"/>
    <mergeCell ref="A747:G747"/>
    <mergeCell ref="A750:G750"/>
    <mergeCell ref="A762:G762"/>
    <mergeCell ref="A753:G753"/>
    <mergeCell ref="A759:G759"/>
    <mergeCell ref="A768:G768"/>
    <mergeCell ref="A771:G771"/>
    <mergeCell ref="A755:A757"/>
    <mergeCell ref="B755:B757"/>
    <mergeCell ref="C755:C757"/>
    <mergeCell ref="D755:D757"/>
    <mergeCell ref="E755:E757"/>
    <mergeCell ref="A19:G19"/>
    <mergeCell ref="A101:G101"/>
    <mergeCell ref="A113:G113"/>
    <mergeCell ref="A126:G126"/>
    <mergeCell ref="A141:G141"/>
    <mergeCell ref="A1:G1"/>
    <mergeCell ref="A2:A3"/>
    <mergeCell ref="B2:B3"/>
    <mergeCell ref="C2:C3"/>
    <mergeCell ref="D2:F2"/>
    <mergeCell ref="G2:G3"/>
    <mergeCell ref="A4:G4"/>
    <mergeCell ref="A109:G109"/>
    <mergeCell ref="A20:A21"/>
    <mergeCell ref="B20:B21"/>
    <mergeCell ref="D20:D21"/>
    <mergeCell ref="E20:E21"/>
    <mergeCell ref="A22:A23"/>
    <mergeCell ref="B22:B23"/>
    <mergeCell ref="D22:D23"/>
    <mergeCell ref="E22:E23"/>
    <mergeCell ref="A24:A25"/>
    <mergeCell ref="B24:B25"/>
    <mergeCell ref="D24:D25"/>
    <mergeCell ref="A1013:A1017"/>
    <mergeCell ref="B1013:B1017"/>
    <mergeCell ref="D1013:D1017"/>
    <mergeCell ref="E1013:E1017"/>
    <mergeCell ref="A1019:A1023"/>
    <mergeCell ref="B1019:B1023"/>
    <mergeCell ref="D1019:D1023"/>
    <mergeCell ref="E1019:E1023"/>
    <mergeCell ref="B778:B780"/>
    <mergeCell ref="E778:E780"/>
    <mergeCell ref="A935:G935"/>
    <mergeCell ref="A1007:G1007"/>
    <mergeCell ref="A879:G879"/>
    <mergeCell ref="A1008:A1012"/>
    <mergeCell ref="B1008:B1012"/>
    <mergeCell ref="D1008:D1012"/>
    <mergeCell ref="E1008:E1012"/>
    <mergeCell ref="G1008:G1010"/>
    <mergeCell ref="G1013:G1015"/>
    <mergeCell ref="G1019:G1020"/>
    <mergeCell ref="A782:A785"/>
    <mergeCell ref="B782:B785"/>
    <mergeCell ref="D782:D785"/>
    <mergeCell ref="A789:A791"/>
    <mergeCell ref="A1024:A1028"/>
    <mergeCell ref="B1024:B1028"/>
    <mergeCell ref="D1024:D1028"/>
    <mergeCell ref="E1024:E1028"/>
    <mergeCell ref="G1024:G1026"/>
    <mergeCell ref="A1040:A1044"/>
    <mergeCell ref="B1040:B1044"/>
    <mergeCell ref="D1040:D1044"/>
    <mergeCell ref="E1040:E1044"/>
    <mergeCell ref="A1029:A1033"/>
    <mergeCell ref="B1029:B1033"/>
    <mergeCell ref="D1029:D1033"/>
    <mergeCell ref="E1029:E1033"/>
    <mergeCell ref="G1040:G1041"/>
    <mergeCell ref="A1045:A1049"/>
    <mergeCell ref="B1045:B1049"/>
    <mergeCell ref="D1045:D1049"/>
    <mergeCell ref="E1045:E1049"/>
    <mergeCell ref="G1045:G1047"/>
    <mergeCell ref="G1029:G1031"/>
    <mergeCell ref="A1034:A1038"/>
    <mergeCell ref="B1034:B1038"/>
    <mergeCell ref="D1034:D1038"/>
    <mergeCell ref="E1034:E1038"/>
    <mergeCell ref="G1034:G1036"/>
    <mergeCell ref="A1055:A1059"/>
    <mergeCell ref="B1055:B1059"/>
    <mergeCell ref="D1055:D1059"/>
    <mergeCell ref="E1055:E1059"/>
    <mergeCell ref="G1055:G1057"/>
    <mergeCell ref="A1050:A1054"/>
    <mergeCell ref="B1050:B1054"/>
    <mergeCell ref="D1050:D1054"/>
    <mergeCell ref="E1050:E1054"/>
    <mergeCell ref="G1050:G1052"/>
    <mergeCell ref="A1065:A1069"/>
    <mergeCell ref="B1065:B1069"/>
    <mergeCell ref="D1065:D1069"/>
    <mergeCell ref="E1065:E1069"/>
    <mergeCell ref="G1065:G1066"/>
    <mergeCell ref="A1060:A1064"/>
    <mergeCell ref="B1060:B1064"/>
    <mergeCell ref="D1060:D1064"/>
    <mergeCell ref="E1060:E1064"/>
    <mergeCell ref="G1060:G1061"/>
    <mergeCell ref="A1075:A1079"/>
    <mergeCell ref="B1075:B1079"/>
    <mergeCell ref="D1075:D1079"/>
    <mergeCell ref="E1075:E1079"/>
    <mergeCell ref="G1075:G1076"/>
    <mergeCell ref="A1070:A1074"/>
    <mergeCell ref="B1070:B1074"/>
    <mergeCell ref="D1070:D1074"/>
    <mergeCell ref="E1070:E1074"/>
    <mergeCell ref="G1070:G1071"/>
    <mergeCell ref="A1085:A1089"/>
    <mergeCell ref="B1085:B1089"/>
    <mergeCell ref="D1085:D1089"/>
    <mergeCell ref="E1085:E1089"/>
    <mergeCell ref="G1085:G1086"/>
    <mergeCell ref="A1080:A1084"/>
    <mergeCell ref="B1080:B1084"/>
    <mergeCell ref="D1080:D1084"/>
    <mergeCell ref="E1080:E1084"/>
    <mergeCell ref="G1080:G1081"/>
    <mergeCell ref="A1096:A1100"/>
    <mergeCell ref="B1096:B1100"/>
    <mergeCell ref="D1096:D1100"/>
    <mergeCell ref="E1096:E1100"/>
    <mergeCell ref="G1096:G1097"/>
    <mergeCell ref="A1090:A1094"/>
    <mergeCell ref="B1090:B1094"/>
    <mergeCell ref="D1090:D1094"/>
    <mergeCell ref="E1090:E1094"/>
    <mergeCell ref="G1090:G1091"/>
    <mergeCell ref="A1106:A1110"/>
    <mergeCell ref="B1106:B1110"/>
    <mergeCell ref="D1106:D1110"/>
    <mergeCell ref="E1106:E1110"/>
    <mergeCell ref="G1106:G1107"/>
    <mergeCell ref="A1101:A1105"/>
    <mergeCell ref="B1101:B1105"/>
    <mergeCell ref="D1101:D1105"/>
    <mergeCell ref="E1101:E1105"/>
    <mergeCell ref="G1101:G1102"/>
    <mergeCell ref="A1116:A1120"/>
    <mergeCell ref="B1116:B1120"/>
    <mergeCell ref="D1116:D1120"/>
    <mergeCell ref="E1116:E1120"/>
    <mergeCell ref="G1116:G1117"/>
    <mergeCell ref="A1111:A1115"/>
    <mergeCell ref="B1111:B1115"/>
    <mergeCell ref="D1111:D1115"/>
    <mergeCell ref="E1111:E1115"/>
    <mergeCell ref="G1111:G1112"/>
    <mergeCell ref="A1131:A1135"/>
    <mergeCell ref="B1131:B1135"/>
    <mergeCell ref="D1131:D1135"/>
    <mergeCell ref="E1131:E1135"/>
    <mergeCell ref="G1131:G1132"/>
    <mergeCell ref="A1121:A1125"/>
    <mergeCell ref="B1121:B1125"/>
    <mergeCell ref="D1121:D1125"/>
    <mergeCell ref="E1121:E1125"/>
    <mergeCell ref="G1121:G1122"/>
    <mergeCell ref="A1141:A1145"/>
    <mergeCell ref="B1141:B1145"/>
    <mergeCell ref="D1141:D1145"/>
    <mergeCell ref="E1141:E1145"/>
    <mergeCell ref="G1141:G1143"/>
    <mergeCell ref="A1136:A1140"/>
    <mergeCell ref="B1136:B1140"/>
    <mergeCell ref="D1136:D1140"/>
    <mergeCell ref="E1136:E1140"/>
    <mergeCell ref="G1136:G1137"/>
    <mergeCell ref="A1151:A1155"/>
    <mergeCell ref="B1151:B1155"/>
    <mergeCell ref="D1151:D1155"/>
    <mergeCell ref="E1151:E1155"/>
    <mergeCell ref="G1151:G1153"/>
    <mergeCell ref="A1146:A1150"/>
    <mergeCell ref="B1146:B1150"/>
    <mergeCell ref="D1146:D1150"/>
    <mergeCell ref="E1146:E1150"/>
    <mergeCell ref="G1146:G1147"/>
    <mergeCell ref="A1161:A1165"/>
    <mergeCell ref="B1161:B1165"/>
    <mergeCell ref="D1161:D1165"/>
    <mergeCell ref="E1161:E1165"/>
    <mergeCell ref="G1161:G1163"/>
    <mergeCell ref="A1156:A1160"/>
    <mergeCell ref="B1156:B1160"/>
    <mergeCell ref="D1156:D1160"/>
    <mergeCell ref="E1156:E1160"/>
    <mergeCell ref="G1156:G1158"/>
    <mergeCell ref="A1171:A1175"/>
    <mergeCell ref="B1171:B1175"/>
    <mergeCell ref="D1171:D1175"/>
    <mergeCell ref="E1171:E1175"/>
    <mergeCell ref="G1171:G1173"/>
    <mergeCell ref="A1166:A1170"/>
    <mergeCell ref="B1166:B1170"/>
    <mergeCell ref="D1166:D1170"/>
    <mergeCell ref="E1166:E1170"/>
    <mergeCell ref="G1166:G1168"/>
    <mergeCell ref="A1181:A1185"/>
    <mergeCell ref="B1181:B1185"/>
    <mergeCell ref="D1181:D1185"/>
    <mergeCell ref="E1181:E1185"/>
    <mergeCell ref="G1181:G1183"/>
    <mergeCell ref="A1176:A1180"/>
    <mergeCell ref="B1176:B1180"/>
    <mergeCell ref="D1176:D1180"/>
    <mergeCell ref="E1176:E1180"/>
    <mergeCell ref="G1176:G1178"/>
    <mergeCell ref="A1191:A1195"/>
    <mergeCell ref="B1191:B1195"/>
    <mergeCell ref="D1191:D1195"/>
    <mergeCell ref="E1191:E1195"/>
    <mergeCell ref="G1191:G1193"/>
    <mergeCell ref="A1186:A1190"/>
    <mergeCell ref="B1186:B1190"/>
    <mergeCell ref="D1186:D1190"/>
    <mergeCell ref="E1186:E1190"/>
    <mergeCell ref="G1186:G1188"/>
    <mergeCell ref="A1201:A1205"/>
    <mergeCell ref="B1201:B1205"/>
    <mergeCell ref="D1201:D1205"/>
    <mergeCell ref="E1201:E1205"/>
    <mergeCell ref="G1201:G1203"/>
    <mergeCell ref="A1196:A1200"/>
    <mergeCell ref="B1196:B1200"/>
    <mergeCell ref="D1196:D1200"/>
    <mergeCell ref="E1196:E1200"/>
    <mergeCell ref="G1196:G1198"/>
    <mergeCell ref="A1212:A1216"/>
    <mergeCell ref="B1212:B1216"/>
    <mergeCell ref="D1212:D1216"/>
    <mergeCell ref="E1212:E1216"/>
    <mergeCell ref="G1212:G1214"/>
    <mergeCell ref="A1206:A1210"/>
    <mergeCell ref="B1206:B1210"/>
    <mergeCell ref="D1206:D1210"/>
    <mergeCell ref="E1206:E1210"/>
    <mergeCell ref="G1206:G1208"/>
    <mergeCell ref="A1223:A1227"/>
    <mergeCell ref="B1223:B1227"/>
    <mergeCell ref="D1223:D1227"/>
    <mergeCell ref="E1223:E1227"/>
    <mergeCell ref="G1223:G1225"/>
    <mergeCell ref="A1218:A1222"/>
    <mergeCell ref="B1218:B1222"/>
    <mergeCell ref="D1218:D1222"/>
    <mergeCell ref="E1218:E1222"/>
    <mergeCell ref="G1218:G1220"/>
    <mergeCell ref="A1233:A1237"/>
    <mergeCell ref="B1233:B1237"/>
    <mergeCell ref="D1233:D1237"/>
    <mergeCell ref="E1233:E1237"/>
    <mergeCell ref="G1233:G1235"/>
    <mergeCell ref="A1228:A1232"/>
    <mergeCell ref="B1228:B1232"/>
    <mergeCell ref="D1228:D1232"/>
    <mergeCell ref="E1228:E1232"/>
    <mergeCell ref="G1228:G1230"/>
    <mergeCell ref="E24:E25"/>
    <mergeCell ref="A26:A27"/>
    <mergeCell ref="B26:B27"/>
    <mergeCell ref="D26:D27"/>
    <mergeCell ref="E26:E27"/>
    <mergeCell ref="A28:A31"/>
    <mergeCell ref="B28:B31"/>
    <mergeCell ref="D28:D31"/>
    <mergeCell ref="E28:E31"/>
    <mergeCell ref="A33:A35"/>
    <mergeCell ref="B33:B35"/>
    <mergeCell ref="D33:D35"/>
    <mergeCell ref="E33:E35"/>
    <mergeCell ref="A36:A37"/>
    <mergeCell ref="B36:B37"/>
    <mergeCell ref="D36:D37"/>
    <mergeCell ref="E36:E37"/>
    <mergeCell ref="A38:A40"/>
    <mergeCell ref="B38:B40"/>
    <mergeCell ref="D38:D40"/>
    <mergeCell ref="E38:E40"/>
    <mergeCell ref="A41:A43"/>
    <mergeCell ref="B41:B43"/>
    <mergeCell ref="D41:D43"/>
    <mergeCell ref="E41:E43"/>
    <mergeCell ref="A44:A47"/>
    <mergeCell ref="B44:B47"/>
    <mergeCell ref="D44:D47"/>
    <mergeCell ref="E44:E47"/>
    <mergeCell ref="A48:A49"/>
    <mergeCell ref="B48:B49"/>
    <mergeCell ref="D48:D49"/>
    <mergeCell ref="E48:E49"/>
    <mergeCell ref="A50:A53"/>
    <mergeCell ref="B50:B53"/>
    <mergeCell ref="D50:D53"/>
    <mergeCell ref="E50:E53"/>
    <mergeCell ref="A54:A55"/>
    <mergeCell ref="B54:B55"/>
    <mergeCell ref="D54:D55"/>
    <mergeCell ref="E54:E55"/>
    <mergeCell ref="A56:A57"/>
    <mergeCell ref="B56:B57"/>
    <mergeCell ref="D56:D57"/>
    <mergeCell ref="E56:E57"/>
    <mergeCell ref="A58:A61"/>
    <mergeCell ref="B58:B61"/>
    <mergeCell ref="D58:D61"/>
    <mergeCell ref="E58:E61"/>
    <mergeCell ref="A62:A65"/>
    <mergeCell ref="B62:B65"/>
    <mergeCell ref="D62:D65"/>
    <mergeCell ref="E62:E65"/>
    <mergeCell ref="A66:A68"/>
    <mergeCell ref="B66:B68"/>
    <mergeCell ref="D66:D68"/>
    <mergeCell ref="E66:E68"/>
    <mergeCell ref="A69:A72"/>
    <mergeCell ref="B69:B72"/>
    <mergeCell ref="D69:D72"/>
    <mergeCell ref="E69:E72"/>
    <mergeCell ref="A73:A75"/>
    <mergeCell ref="B73:B75"/>
    <mergeCell ref="D73:D75"/>
    <mergeCell ref="E73:E75"/>
    <mergeCell ref="A82:A84"/>
    <mergeCell ref="B82:B84"/>
    <mergeCell ref="D82:D84"/>
    <mergeCell ref="E82:E84"/>
    <mergeCell ref="A85:A87"/>
    <mergeCell ref="B85:B87"/>
    <mergeCell ref="D85:D87"/>
    <mergeCell ref="E85:E87"/>
    <mergeCell ref="A88:A92"/>
    <mergeCell ref="B88:B92"/>
    <mergeCell ref="D88:D92"/>
    <mergeCell ref="E88:E92"/>
    <mergeCell ref="D96:D98"/>
    <mergeCell ref="E96:E98"/>
  </mergeCells>
  <pageMargins left="0.70866141732283472" right="0.27559055118110237" top="0.31496062992125984" bottom="0.39370078740157483" header="0.31496062992125984" footer="0.31496062992125984"/>
  <pageSetup paperSize="9" scale="58" fitToHeight="100"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Будівництво Капітальн ремонти</vt:lpstr>
      <vt:lpstr>'Будівництво Капітальн ремонти'!Заголовки_для_печати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User_455</dc:creator>
  <cp:lastModifiedBy>User416b</cp:lastModifiedBy>
  <cp:lastPrinted>2019-02-18T14:47:36Z</cp:lastPrinted>
  <dcterms:created xsi:type="dcterms:W3CDTF">2018-03-12T15:49:06Z</dcterms:created>
  <dcterms:modified xsi:type="dcterms:W3CDTF">2019-03-05T15:31:28Z</dcterms:modified>
</cp:coreProperties>
</file>